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charts/chart8.xml" ContentType="application/vnd.openxmlformats-officedocument.drawingml.chart+xml"/>
  <Override PartName="/xl/charts/chart7.xml" ContentType="application/vnd.openxmlformats-officedocument.drawingml.chart+xml"/>
  <Override PartName="/xl/worksheets/sheet1.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5.xml" ContentType="application/vnd.openxmlformats-officedocument.drawingml.chart+xml"/>
  <Override PartName="/xl/charts/chart6.xml" ContentType="application/vnd.openxmlformats-officedocument.drawingml.chart+xml"/>
  <Override PartName="/xl/charts/chart3.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4.xml" ContentType="application/vnd.openxmlformats-officedocument.drawingml.chart+xml"/>
  <Override PartName="/xl/charts/chart2.xml" ContentType="application/vnd.openxmlformats-officedocument.drawingml.chart+xml"/>
  <Override PartName="/xl/charts/chart1.xml" ContentType="application/vnd.openxmlformats-officedocument.drawingml.chart+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alcChain.xml" ContentType="application/vnd.openxmlformats-officedocument.spreadsheetml.calcChain+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615" windowWidth="18195" windowHeight="11085" firstSheet="4" activeTab="4"/>
  </bookViews>
  <sheets>
    <sheet name="NHS cost" sheetId="2" state="hidden" r:id="rId1"/>
    <sheet name="Social care cost" sheetId="3" state="hidden" r:id="rId2"/>
    <sheet name="QALY" sheetId="6" state="hidden" r:id="rId3"/>
    <sheet name="Costs" sheetId="4" state="hidden" r:id="rId4"/>
    <sheet name="HE tool" sheetId="7" r:id="rId5"/>
    <sheet name="Further details" sheetId="8" r:id="rId6"/>
  </sheets>
  <definedNames>
    <definedName name="Admitted">'HE tool'!$D$8</definedName>
    <definedName name="admitted_number">'HE tool'!$D$8</definedName>
    <definedName name="aspirational_ESD">Costs!$J$41</definedName>
    <definedName name="Aspirational_percentage_thrombolysed">'HE tool'!$D$31</definedName>
    <definedName name="current_ESD">Costs!$I$41</definedName>
    <definedName name="Current_thromb_of_all_patients">Costs!$J$33</definedName>
    <definedName name="current_thrombolysed">'HE tool'!$D$12</definedName>
    <definedName name="discharged">Costs!$I$30</definedName>
    <definedName name="Infarction">'HE tool'!$D$10</definedName>
    <definedName name="percentage_thromb">'HE tool'!$D$11</definedName>
    <definedName name="_xlnm.Print_Area" localSheetId="5">'Further details'!$A$1:$A$13</definedName>
    <definedName name="_xlnm.Print_Area" localSheetId="4">'HE tool'!$A$1:$N$64</definedName>
    <definedName name="Proportion_of_females">'HE tool'!$D$9</definedName>
  </definedNames>
  <calcPr calcId="145621"/>
</workbook>
</file>

<file path=xl/calcChain.xml><?xml version="1.0" encoding="utf-8"?>
<calcChain xmlns="http://schemas.openxmlformats.org/spreadsheetml/2006/main">
  <c r="C19" i="7" l="1"/>
  <c r="C32" i="7" l="1"/>
  <c r="M10" i="4"/>
  <c r="F10" i="4"/>
  <c r="J30" i="4" l="1"/>
  <c r="J29" i="4"/>
  <c r="J28" i="4"/>
  <c r="J33" i="4" s="1"/>
  <c r="J38" i="4" s="1"/>
  <c r="J26" i="4"/>
  <c r="J37" i="4" s="1"/>
  <c r="J31" i="4"/>
  <c r="J40" i="4" s="1"/>
  <c r="J32" i="4"/>
  <c r="J34" i="4"/>
  <c r="J35" i="4" s="1"/>
  <c r="K10" i="4"/>
  <c r="G10" i="4"/>
  <c r="N10" i="4"/>
  <c r="D10" i="4"/>
  <c r="C26" i="7"/>
  <c r="C22" i="7"/>
  <c r="J5" i="4"/>
  <c r="J10" i="4"/>
  <c r="J4" i="4"/>
  <c r="J3" i="4"/>
  <c r="E2" i="4"/>
  <c r="C10" i="4"/>
  <c r="C2" i="4"/>
  <c r="F2" i="4"/>
  <c r="D2" i="4"/>
  <c r="C45" i="4"/>
  <c r="C41" i="4"/>
  <c r="C40" i="4"/>
  <c r="F28" i="4"/>
  <c r="E24" i="4"/>
  <c r="D24" i="4"/>
  <c r="C24" i="4"/>
  <c r="C22" i="4"/>
  <c r="C18" i="7" l="1"/>
  <c r="C17" i="7"/>
  <c r="F103" i="3" l="1"/>
  <c r="F104" i="3"/>
  <c r="F105" i="3"/>
  <c r="F106" i="3"/>
  <c r="F107" i="3"/>
  <c r="F108" i="3"/>
  <c r="F109" i="3"/>
  <c r="F110" i="3"/>
  <c r="F111" i="3"/>
  <c r="F112" i="3"/>
  <c r="F113" i="3"/>
  <c r="F114" i="3"/>
  <c r="F115" i="3"/>
  <c r="F116" i="3"/>
  <c r="F117" i="3"/>
  <c r="F118" i="3"/>
  <c r="F119" i="3"/>
  <c r="F120" i="3"/>
  <c r="F121" i="3"/>
  <c r="F122" i="3"/>
  <c r="F123" i="3"/>
  <c r="F124" i="3"/>
  <c r="F125" i="3"/>
  <c r="F126" i="3"/>
  <c r="F127" i="3"/>
  <c r="F128" i="3"/>
  <c r="F129" i="3"/>
  <c r="F130" i="3"/>
  <c r="F131" i="3"/>
  <c r="F132" i="3"/>
  <c r="F133" i="3"/>
  <c r="F134" i="3"/>
  <c r="F135" i="3"/>
  <c r="F136" i="3"/>
  <c r="F137" i="3"/>
  <c r="F138" i="3"/>
  <c r="F139" i="3"/>
  <c r="F140" i="3"/>
  <c r="F141" i="3"/>
  <c r="F142" i="3"/>
  <c r="F143" i="3"/>
  <c r="F144" i="3"/>
  <c r="F145" i="3"/>
  <c r="F146" i="3"/>
  <c r="F147" i="3"/>
  <c r="F148" i="3"/>
  <c r="F149" i="3"/>
  <c r="F150" i="3"/>
  <c r="F151" i="3"/>
  <c r="F152" i="3"/>
  <c r="F153" i="3"/>
  <c r="F154"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F182" i="3"/>
  <c r="F183" i="3"/>
  <c r="F184" i="3"/>
  <c r="F185" i="3"/>
  <c r="F186" i="3"/>
  <c r="F187" i="3"/>
  <c r="F188" i="3"/>
  <c r="F189" i="3"/>
  <c r="F190" i="3"/>
  <c r="F191" i="3"/>
  <c r="F192" i="3"/>
  <c r="F193" i="3"/>
  <c r="F194" i="3"/>
  <c r="F195" i="3"/>
  <c r="F196" i="3"/>
  <c r="F197" i="3"/>
  <c r="F198" i="3"/>
  <c r="F199" i="3"/>
  <c r="F200" i="3"/>
  <c r="F201" i="3"/>
  <c r="F202" i="3"/>
  <c r="F203" i="3"/>
  <c r="F204" i="3"/>
  <c r="F205" i="3"/>
  <c r="F206" i="3"/>
  <c r="F207" i="3"/>
  <c r="F208" i="3"/>
  <c r="F209" i="3"/>
  <c r="F210" i="3"/>
  <c r="F211" i="3"/>
  <c r="F212" i="3"/>
  <c r="F213" i="3"/>
  <c r="F214" i="3"/>
  <c r="F215" i="3"/>
  <c r="F216" i="3"/>
  <c r="F217" i="3"/>
  <c r="F218" i="3"/>
  <c r="F219" i="3"/>
  <c r="F220" i="3"/>
  <c r="F221" i="3"/>
  <c r="F222" i="3"/>
  <c r="F223" i="3"/>
  <c r="F224" i="3"/>
  <c r="F225" i="3"/>
  <c r="F226" i="3"/>
  <c r="F227" i="3"/>
  <c r="F228" i="3"/>
  <c r="F229" i="3"/>
  <c r="F230" i="3"/>
  <c r="F231" i="3"/>
  <c r="F232" i="3"/>
  <c r="F233" i="3"/>
  <c r="F234" i="3"/>
  <c r="F235" i="3"/>
  <c r="F236" i="3"/>
  <c r="F237" i="3"/>
  <c r="F238" i="3"/>
  <c r="F239" i="3"/>
  <c r="F240" i="3"/>
  <c r="F241" i="3"/>
  <c r="F242" i="3"/>
  <c r="F243" i="3"/>
  <c r="F244" i="3"/>
  <c r="F245" i="3"/>
  <c r="F246" i="3"/>
  <c r="F247" i="3"/>
  <c r="F248" i="3"/>
  <c r="F249" i="3"/>
  <c r="F250" i="3"/>
  <c r="F251" i="3"/>
  <c r="F252" i="3"/>
  <c r="F253" i="3"/>
  <c r="F254" i="3"/>
  <c r="F255" i="3"/>
  <c r="F256" i="3"/>
  <c r="F257" i="3"/>
  <c r="F258" i="3"/>
  <c r="F259" i="3"/>
  <c r="F260" i="3"/>
  <c r="F261" i="3"/>
  <c r="F262" i="3"/>
  <c r="F263" i="3"/>
  <c r="F264" i="3"/>
  <c r="F265" i="3"/>
  <c r="F266" i="3"/>
  <c r="F267" i="3"/>
  <c r="F268" i="3"/>
  <c r="F269" i="3"/>
  <c r="F270" i="3"/>
  <c r="F271" i="3"/>
  <c r="F272" i="3"/>
  <c r="F273" i="3"/>
  <c r="F274" i="3"/>
  <c r="F275" i="3"/>
  <c r="F276" i="3"/>
  <c r="F277" i="3"/>
  <c r="F278" i="3"/>
  <c r="F279" i="3"/>
  <c r="F280" i="3"/>
  <c r="F281" i="3"/>
  <c r="F282" i="3"/>
  <c r="F283" i="3"/>
  <c r="F284" i="3"/>
  <c r="F285" i="3"/>
  <c r="F286" i="3"/>
  <c r="F287" i="3"/>
  <c r="F288" i="3"/>
  <c r="F289" i="3"/>
  <c r="F290" i="3"/>
  <c r="F291" i="3"/>
  <c r="F292" i="3"/>
  <c r="F293" i="3"/>
  <c r="F294" i="3"/>
  <c r="F295" i="3"/>
  <c r="F296" i="3"/>
  <c r="F297" i="3"/>
  <c r="F298" i="3"/>
  <c r="F299" i="3"/>
  <c r="F300" i="3"/>
  <c r="F301" i="3"/>
  <c r="F302" i="3"/>
  <c r="F303" i="3"/>
  <c r="F304" i="3"/>
  <c r="F305" i="3"/>
  <c r="F306" i="3"/>
  <c r="F307" i="3"/>
  <c r="F308" i="3"/>
  <c r="F309" i="3"/>
  <c r="F310" i="3"/>
  <c r="F311" i="3"/>
  <c r="F312" i="3"/>
  <c r="F313" i="3"/>
  <c r="F314" i="3"/>
  <c r="F315" i="3"/>
  <c r="F316" i="3"/>
  <c r="F317" i="3"/>
  <c r="F318" i="3"/>
  <c r="F319" i="3"/>
  <c r="F320" i="3"/>
  <c r="F321" i="3"/>
  <c r="F322" i="3"/>
  <c r="F323" i="3"/>
  <c r="F324" i="3"/>
  <c r="F325" i="3"/>
  <c r="F326" i="3"/>
  <c r="F327" i="3"/>
  <c r="F328" i="3"/>
  <c r="F329" i="3"/>
  <c r="F330" i="3"/>
  <c r="F331" i="3"/>
  <c r="F332" i="3"/>
  <c r="F333" i="3"/>
  <c r="F334" i="3"/>
  <c r="F335" i="3"/>
  <c r="F336" i="3"/>
  <c r="F337" i="3"/>
  <c r="F338" i="3"/>
  <c r="F339" i="3"/>
  <c r="F340" i="3"/>
  <c r="F341" i="3"/>
  <c r="F342" i="3"/>
  <c r="F343" i="3"/>
  <c r="F344" i="3"/>
  <c r="F345" i="3"/>
  <c r="F346" i="3"/>
  <c r="F347" i="3"/>
  <c r="F348" i="3"/>
  <c r="F349" i="3"/>
  <c r="F350" i="3"/>
  <c r="F351" i="3"/>
  <c r="F352" i="3"/>
  <c r="F353" i="3"/>
  <c r="F354" i="3"/>
  <c r="F355" i="3"/>
  <c r="F356" i="3"/>
  <c r="F357" i="3"/>
  <c r="F358" i="3"/>
  <c r="F359" i="3"/>
  <c r="F360" i="3"/>
  <c r="F361" i="3"/>
  <c r="F362" i="3"/>
  <c r="F363" i="3"/>
  <c r="F364" i="3"/>
  <c r="F365" i="3"/>
  <c r="F366" i="3"/>
  <c r="F367" i="3"/>
  <c r="F368" i="3"/>
  <c r="F369" i="3"/>
  <c r="F370" i="3"/>
  <c r="F371" i="3"/>
  <c r="F372" i="3"/>
  <c r="F373" i="3"/>
  <c r="F374" i="3"/>
  <c r="F375" i="3"/>
  <c r="F376" i="3"/>
  <c r="F377" i="3"/>
  <c r="F378" i="3"/>
  <c r="F379" i="3"/>
  <c r="F380" i="3"/>
  <c r="F381" i="3"/>
  <c r="F382" i="3"/>
  <c r="F383" i="3"/>
  <c r="F384" i="3"/>
  <c r="F385" i="3"/>
  <c r="F386" i="3"/>
  <c r="F387" i="3"/>
  <c r="F388" i="3"/>
  <c r="F389" i="3"/>
  <c r="F390" i="3"/>
  <c r="F391" i="3"/>
  <c r="F392" i="3"/>
  <c r="F393" i="3"/>
  <c r="F394" i="3"/>
  <c r="F395" i="3"/>
  <c r="F396" i="3"/>
  <c r="F397" i="3"/>
  <c r="F398" i="3"/>
  <c r="F399" i="3"/>
  <c r="F400" i="3"/>
  <c r="F401" i="3"/>
  <c r="F402" i="3"/>
  <c r="F403" i="3"/>
  <c r="F404" i="3"/>
  <c r="F405" i="3"/>
  <c r="F406" i="3"/>
  <c r="F407" i="3"/>
  <c r="F408" i="3"/>
  <c r="F409" i="3"/>
  <c r="F410" i="3"/>
  <c r="F411" i="3"/>
  <c r="F412" i="3"/>
  <c r="F413" i="3"/>
  <c r="F414" i="3"/>
  <c r="F415" i="3"/>
  <c r="F416" i="3"/>
  <c r="F417" i="3"/>
  <c r="F418" i="3"/>
  <c r="F419" i="3"/>
  <c r="F420" i="3"/>
  <c r="F421" i="3"/>
  <c r="F422" i="3"/>
  <c r="F423" i="3"/>
  <c r="F424" i="3"/>
  <c r="F425" i="3"/>
  <c r="F426" i="3"/>
  <c r="F427" i="3"/>
  <c r="F428" i="3"/>
  <c r="F429" i="3"/>
  <c r="F430" i="3"/>
  <c r="F431" i="3"/>
  <c r="F432" i="3"/>
  <c r="F433" i="3"/>
  <c r="F434" i="3"/>
  <c r="F435" i="3"/>
  <c r="F436" i="3"/>
  <c r="F437" i="3"/>
  <c r="F438" i="3"/>
  <c r="F439" i="3"/>
  <c r="F440" i="3"/>
  <c r="F441" i="3"/>
  <c r="F442" i="3"/>
  <c r="F443" i="3"/>
  <c r="F444" i="3"/>
  <c r="F445" i="3"/>
  <c r="F446" i="3"/>
  <c r="F447" i="3"/>
  <c r="F448" i="3"/>
  <c r="F449" i="3"/>
  <c r="F450" i="3"/>
  <c r="F451" i="3"/>
  <c r="F452" i="3"/>
  <c r="F453" i="3"/>
  <c r="F454" i="3"/>
  <c r="F455" i="3"/>
  <c r="F456" i="3"/>
  <c r="F457" i="3"/>
  <c r="F458" i="3"/>
  <c r="F459" i="3"/>
  <c r="F460" i="3"/>
  <c r="F461" i="3"/>
  <c r="F462" i="3"/>
  <c r="F463" i="3"/>
  <c r="F464" i="3"/>
  <c r="F465" i="3"/>
  <c r="F466" i="3"/>
  <c r="F467" i="3"/>
  <c r="F468" i="3"/>
  <c r="F469" i="3"/>
  <c r="F470" i="3"/>
  <c r="F471" i="3"/>
  <c r="F472" i="3"/>
  <c r="F473" i="3"/>
  <c r="F474" i="3"/>
  <c r="F475" i="3"/>
  <c r="F476" i="3"/>
  <c r="F477" i="3"/>
  <c r="F478" i="3"/>
  <c r="F479" i="3"/>
  <c r="F480" i="3"/>
  <c r="F481" i="3"/>
  <c r="F482" i="3"/>
  <c r="F483" i="3"/>
  <c r="F484" i="3"/>
  <c r="F485" i="3"/>
  <c r="F486" i="3"/>
  <c r="F487" i="3"/>
  <c r="F488" i="3"/>
  <c r="F489" i="3"/>
  <c r="F490" i="3"/>
  <c r="F491" i="3"/>
  <c r="F492" i="3"/>
  <c r="F493" i="3"/>
  <c r="F494" i="3"/>
  <c r="F495" i="3"/>
  <c r="F496" i="3"/>
  <c r="E103" i="3"/>
  <c r="E104" i="3"/>
  <c r="E105" i="3"/>
  <c r="E106" i="3"/>
  <c r="E107" i="3"/>
  <c r="E108" i="3"/>
  <c r="E109" i="3"/>
  <c r="E110" i="3"/>
  <c r="E111" i="3"/>
  <c r="E112" i="3"/>
  <c r="E113" i="3"/>
  <c r="E114" i="3"/>
  <c r="E115" i="3"/>
  <c r="E116" i="3"/>
  <c r="E117" i="3"/>
  <c r="E118" i="3"/>
  <c r="E119" i="3"/>
  <c r="E120" i="3"/>
  <c r="E121" i="3"/>
  <c r="E122" i="3"/>
  <c r="E123" i="3"/>
  <c r="E124" i="3"/>
  <c r="E125" i="3"/>
  <c r="E126" i="3"/>
  <c r="E127" i="3"/>
  <c r="E128" i="3"/>
  <c r="E129" i="3"/>
  <c r="E130" i="3"/>
  <c r="E131" i="3"/>
  <c r="E132" i="3"/>
  <c r="E133" i="3"/>
  <c r="E134" i="3"/>
  <c r="E135" i="3"/>
  <c r="E136" i="3"/>
  <c r="E137" i="3"/>
  <c r="E138" i="3"/>
  <c r="E139" i="3"/>
  <c r="E140" i="3"/>
  <c r="E141" i="3"/>
  <c r="E142" i="3"/>
  <c r="E143" i="3"/>
  <c r="E144" i="3"/>
  <c r="E145" i="3"/>
  <c r="E146" i="3"/>
  <c r="E147" i="3"/>
  <c r="E148" i="3"/>
  <c r="E149" i="3"/>
  <c r="E150" i="3"/>
  <c r="E151" i="3"/>
  <c r="E152" i="3"/>
  <c r="E153" i="3"/>
  <c r="E154" i="3"/>
  <c r="E155" i="3"/>
  <c r="E156" i="3"/>
  <c r="E157" i="3"/>
  <c r="E158" i="3"/>
  <c r="E159" i="3"/>
  <c r="E160" i="3"/>
  <c r="E161" i="3"/>
  <c r="E162" i="3"/>
  <c r="E163" i="3"/>
  <c r="E164" i="3"/>
  <c r="E165" i="3"/>
  <c r="E166" i="3"/>
  <c r="E167" i="3"/>
  <c r="E168" i="3"/>
  <c r="E169" i="3"/>
  <c r="E170" i="3"/>
  <c r="E171" i="3"/>
  <c r="E172" i="3"/>
  <c r="E173" i="3"/>
  <c r="E174" i="3"/>
  <c r="E175" i="3"/>
  <c r="E176" i="3"/>
  <c r="E177" i="3"/>
  <c r="E178" i="3"/>
  <c r="E179" i="3"/>
  <c r="E180" i="3"/>
  <c r="E181" i="3"/>
  <c r="E182" i="3"/>
  <c r="E183" i="3"/>
  <c r="E184" i="3"/>
  <c r="E185" i="3"/>
  <c r="E186" i="3"/>
  <c r="E187" i="3"/>
  <c r="E188" i="3"/>
  <c r="E189" i="3"/>
  <c r="E190" i="3"/>
  <c r="E191" i="3"/>
  <c r="E192" i="3"/>
  <c r="E193" i="3"/>
  <c r="E194" i="3"/>
  <c r="E195" i="3"/>
  <c r="E196" i="3"/>
  <c r="E197" i="3"/>
  <c r="E198" i="3"/>
  <c r="E199" i="3"/>
  <c r="E200" i="3"/>
  <c r="E201" i="3"/>
  <c r="E202" i="3"/>
  <c r="E203" i="3"/>
  <c r="E204" i="3"/>
  <c r="E205" i="3"/>
  <c r="E206" i="3"/>
  <c r="E207" i="3"/>
  <c r="E208" i="3"/>
  <c r="E209" i="3"/>
  <c r="E210" i="3"/>
  <c r="E211" i="3"/>
  <c r="E212" i="3"/>
  <c r="E213" i="3"/>
  <c r="E214" i="3"/>
  <c r="E215" i="3"/>
  <c r="E216" i="3"/>
  <c r="E217" i="3"/>
  <c r="E218" i="3"/>
  <c r="E219" i="3"/>
  <c r="E220" i="3"/>
  <c r="E221" i="3"/>
  <c r="E222" i="3"/>
  <c r="E223" i="3"/>
  <c r="E224" i="3"/>
  <c r="E225" i="3"/>
  <c r="E226" i="3"/>
  <c r="E227" i="3"/>
  <c r="E228" i="3"/>
  <c r="E229" i="3"/>
  <c r="E230" i="3"/>
  <c r="E231" i="3"/>
  <c r="E232" i="3"/>
  <c r="E233" i="3"/>
  <c r="E234" i="3"/>
  <c r="E235" i="3"/>
  <c r="E236" i="3"/>
  <c r="E237" i="3"/>
  <c r="E238" i="3"/>
  <c r="E239" i="3"/>
  <c r="E240" i="3"/>
  <c r="E241" i="3"/>
  <c r="E242" i="3"/>
  <c r="E243" i="3"/>
  <c r="E244" i="3"/>
  <c r="E245" i="3"/>
  <c r="E246" i="3"/>
  <c r="E247" i="3"/>
  <c r="E248" i="3"/>
  <c r="E249" i="3"/>
  <c r="E250" i="3"/>
  <c r="E251" i="3"/>
  <c r="E252" i="3"/>
  <c r="E253" i="3"/>
  <c r="E254" i="3"/>
  <c r="E255" i="3"/>
  <c r="E256" i="3"/>
  <c r="E257" i="3"/>
  <c r="E258" i="3"/>
  <c r="E259" i="3"/>
  <c r="E260" i="3"/>
  <c r="E261" i="3"/>
  <c r="E262" i="3"/>
  <c r="E263" i="3"/>
  <c r="E264" i="3"/>
  <c r="E265" i="3"/>
  <c r="E266" i="3"/>
  <c r="E267" i="3"/>
  <c r="E268" i="3"/>
  <c r="E269" i="3"/>
  <c r="E270" i="3"/>
  <c r="E271" i="3"/>
  <c r="E272" i="3"/>
  <c r="E273" i="3"/>
  <c r="E274" i="3"/>
  <c r="E275" i="3"/>
  <c r="E276" i="3"/>
  <c r="E277" i="3"/>
  <c r="E278" i="3"/>
  <c r="E279" i="3"/>
  <c r="E280" i="3"/>
  <c r="E281" i="3"/>
  <c r="E282" i="3"/>
  <c r="E283" i="3"/>
  <c r="E284" i="3"/>
  <c r="E285" i="3"/>
  <c r="E286" i="3"/>
  <c r="E287" i="3"/>
  <c r="E288" i="3"/>
  <c r="E289" i="3"/>
  <c r="E290" i="3"/>
  <c r="E291" i="3"/>
  <c r="E292" i="3"/>
  <c r="E293" i="3"/>
  <c r="E294" i="3"/>
  <c r="E295" i="3"/>
  <c r="E296" i="3"/>
  <c r="E297" i="3"/>
  <c r="E298" i="3"/>
  <c r="E299" i="3"/>
  <c r="E300" i="3"/>
  <c r="E301" i="3"/>
  <c r="E302" i="3"/>
  <c r="E303" i="3"/>
  <c r="E304" i="3"/>
  <c r="E305" i="3"/>
  <c r="E306" i="3"/>
  <c r="E307" i="3"/>
  <c r="E308" i="3"/>
  <c r="E309" i="3"/>
  <c r="E310" i="3"/>
  <c r="E311" i="3"/>
  <c r="E312" i="3"/>
  <c r="E313" i="3"/>
  <c r="E314" i="3"/>
  <c r="E315" i="3"/>
  <c r="E316" i="3"/>
  <c r="E317" i="3"/>
  <c r="E318" i="3"/>
  <c r="E319" i="3"/>
  <c r="E320" i="3"/>
  <c r="E321" i="3"/>
  <c r="E322" i="3"/>
  <c r="E323" i="3"/>
  <c r="E324" i="3"/>
  <c r="E325" i="3"/>
  <c r="E326" i="3"/>
  <c r="E327" i="3"/>
  <c r="E328" i="3"/>
  <c r="E329" i="3"/>
  <c r="E330" i="3"/>
  <c r="E331" i="3"/>
  <c r="E332" i="3"/>
  <c r="E333" i="3"/>
  <c r="E334" i="3"/>
  <c r="E335" i="3"/>
  <c r="E336" i="3"/>
  <c r="E337" i="3"/>
  <c r="E338" i="3"/>
  <c r="E339" i="3"/>
  <c r="E340" i="3"/>
  <c r="E341" i="3"/>
  <c r="E342" i="3"/>
  <c r="E343" i="3"/>
  <c r="E344" i="3"/>
  <c r="E345" i="3"/>
  <c r="E346" i="3"/>
  <c r="E347" i="3"/>
  <c r="E348" i="3"/>
  <c r="E349" i="3"/>
  <c r="E350" i="3"/>
  <c r="E351" i="3"/>
  <c r="E352" i="3"/>
  <c r="E353" i="3"/>
  <c r="E354" i="3"/>
  <c r="E355" i="3"/>
  <c r="E356" i="3"/>
  <c r="E357" i="3"/>
  <c r="E358" i="3"/>
  <c r="E359" i="3"/>
  <c r="E360" i="3"/>
  <c r="E361" i="3"/>
  <c r="E362" i="3"/>
  <c r="E363" i="3"/>
  <c r="E364" i="3"/>
  <c r="E365" i="3"/>
  <c r="E366" i="3"/>
  <c r="E367" i="3"/>
  <c r="E368" i="3"/>
  <c r="E369" i="3"/>
  <c r="E370" i="3"/>
  <c r="E371" i="3"/>
  <c r="E372" i="3"/>
  <c r="E373" i="3"/>
  <c r="E374" i="3"/>
  <c r="E375" i="3"/>
  <c r="E376" i="3"/>
  <c r="E377" i="3"/>
  <c r="E378" i="3"/>
  <c r="E379" i="3"/>
  <c r="E380" i="3"/>
  <c r="E381" i="3"/>
  <c r="E382" i="3"/>
  <c r="E383" i="3"/>
  <c r="E384" i="3"/>
  <c r="E385" i="3"/>
  <c r="E386" i="3"/>
  <c r="E387" i="3"/>
  <c r="E388" i="3"/>
  <c r="E389" i="3"/>
  <c r="E390" i="3"/>
  <c r="E391" i="3"/>
  <c r="E392" i="3"/>
  <c r="E393" i="3"/>
  <c r="E394" i="3"/>
  <c r="E395" i="3"/>
  <c r="E396" i="3"/>
  <c r="E397" i="3"/>
  <c r="E398" i="3"/>
  <c r="E399" i="3"/>
  <c r="E400" i="3"/>
  <c r="E401" i="3"/>
  <c r="E402" i="3"/>
  <c r="E403" i="3"/>
  <c r="E404" i="3"/>
  <c r="E405" i="3"/>
  <c r="E406" i="3"/>
  <c r="E407" i="3"/>
  <c r="E408" i="3"/>
  <c r="E409" i="3"/>
  <c r="E410" i="3"/>
  <c r="E411" i="3"/>
  <c r="E412" i="3"/>
  <c r="E413" i="3"/>
  <c r="E414" i="3"/>
  <c r="E415" i="3"/>
  <c r="E416" i="3"/>
  <c r="E417" i="3"/>
  <c r="E418" i="3"/>
  <c r="E419" i="3"/>
  <c r="E420" i="3"/>
  <c r="E421" i="3"/>
  <c r="E422" i="3"/>
  <c r="E423" i="3"/>
  <c r="E424" i="3"/>
  <c r="E425" i="3"/>
  <c r="E426" i="3"/>
  <c r="E427" i="3"/>
  <c r="E428" i="3"/>
  <c r="E429" i="3"/>
  <c r="E430" i="3"/>
  <c r="E431" i="3"/>
  <c r="E432" i="3"/>
  <c r="E433" i="3"/>
  <c r="E434" i="3"/>
  <c r="E435" i="3"/>
  <c r="E436" i="3"/>
  <c r="E437" i="3"/>
  <c r="E438" i="3"/>
  <c r="E439" i="3"/>
  <c r="E440" i="3"/>
  <c r="E441" i="3"/>
  <c r="E442" i="3"/>
  <c r="E443" i="3"/>
  <c r="E444" i="3"/>
  <c r="E445" i="3"/>
  <c r="E446" i="3"/>
  <c r="E447" i="3"/>
  <c r="E448" i="3"/>
  <c r="E449" i="3"/>
  <c r="E450" i="3"/>
  <c r="E451" i="3"/>
  <c r="E452" i="3"/>
  <c r="E453" i="3"/>
  <c r="E454" i="3"/>
  <c r="E455" i="3"/>
  <c r="E456" i="3"/>
  <c r="E457" i="3"/>
  <c r="E458" i="3"/>
  <c r="E459" i="3"/>
  <c r="E460" i="3"/>
  <c r="E461" i="3"/>
  <c r="E462" i="3"/>
  <c r="E463" i="3"/>
  <c r="E464" i="3"/>
  <c r="E465" i="3"/>
  <c r="E466" i="3"/>
  <c r="E467" i="3"/>
  <c r="E468" i="3"/>
  <c r="E469" i="3"/>
  <c r="E470" i="3"/>
  <c r="E471" i="3"/>
  <c r="E472" i="3"/>
  <c r="E473" i="3"/>
  <c r="E474" i="3"/>
  <c r="E475" i="3"/>
  <c r="E476" i="3"/>
  <c r="E477" i="3"/>
  <c r="E478" i="3"/>
  <c r="E479" i="3"/>
  <c r="E480" i="3"/>
  <c r="E481" i="3"/>
  <c r="E482" i="3"/>
  <c r="E483" i="3"/>
  <c r="E484" i="3"/>
  <c r="E485" i="3"/>
  <c r="E486" i="3"/>
  <c r="E487" i="3"/>
  <c r="E488" i="3"/>
  <c r="E489" i="3"/>
  <c r="E490" i="3"/>
  <c r="E491" i="3"/>
  <c r="E492" i="3"/>
  <c r="E493" i="3"/>
  <c r="E494" i="3"/>
  <c r="E495" i="3"/>
  <c r="E496" i="3"/>
  <c r="F3" i="3"/>
  <c r="F4" i="3"/>
  <c r="F5" i="3"/>
  <c r="F6" i="3"/>
  <c r="F7" i="3"/>
  <c r="F8" i="3"/>
  <c r="F9" i="3"/>
  <c r="F10" i="3"/>
  <c r="F11" i="3"/>
  <c r="F12" i="3"/>
  <c r="F13" i="3"/>
  <c r="F14" i="3"/>
  <c r="F15" i="3"/>
  <c r="F16"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F85" i="3"/>
  <c r="F86" i="3"/>
  <c r="F87" i="3"/>
  <c r="F88" i="3"/>
  <c r="F89" i="3"/>
  <c r="F90" i="3"/>
  <c r="F91" i="3"/>
  <c r="F92" i="3"/>
  <c r="F93" i="3"/>
  <c r="F94" i="3"/>
  <c r="F95" i="3"/>
  <c r="F96" i="3"/>
  <c r="F97" i="3"/>
  <c r="F98" i="3"/>
  <c r="F99" i="3"/>
  <c r="F100" i="3"/>
  <c r="F101" i="3"/>
  <c r="F102" i="3"/>
  <c r="E3" i="3"/>
  <c r="E4" i="3"/>
  <c r="E5" i="3"/>
  <c r="E6" i="3"/>
  <c r="E7" i="3"/>
  <c r="E8" i="3"/>
  <c r="E9" i="3"/>
  <c r="E10" i="3"/>
  <c r="E11" i="3"/>
  <c r="E12" i="3"/>
  <c r="E13" i="3"/>
  <c r="E14" i="3"/>
  <c r="E15" i="3"/>
  <c r="E16"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E85" i="3"/>
  <c r="E86" i="3"/>
  <c r="E87" i="3"/>
  <c r="E88" i="3"/>
  <c r="E89" i="3"/>
  <c r="E90" i="3"/>
  <c r="E91" i="3"/>
  <c r="E92" i="3"/>
  <c r="E93" i="3"/>
  <c r="E94" i="3"/>
  <c r="E95" i="3"/>
  <c r="E96" i="3"/>
  <c r="E97" i="3"/>
  <c r="E98" i="3"/>
  <c r="E99" i="3"/>
  <c r="E100" i="3"/>
  <c r="E101" i="3"/>
  <c r="E102" i="3"/>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174" i="2"/>
  <c r="E175" i="2"/>
  <c r="E176" i="2"/>
  <c r="E177" i="2"/>
  <c r="E178" i="2"/>
  <c r="E179" i="2"/>
  <c r="E180" i="2"/>
  <c r="E181" i="2"/>
  <c r="E182" i="2"/>
  <c r="E183" i="2"/>
  <c r="E184" i="2"/>
  <c r="E185" i="2"/>
  <c r="E186" i="2"/>
  <c r="E187" i="2"/>
  <c r="E188" i="2"/>
  <c r="E189" i="2"/>
  <c r="E190" i="2"/>
  <c r="E191" i="2"/>
  <c r="E192" i="2"/>
  <c r="E193" i="2"/>
  <c r="E194" i="2"/>
  <c r="E195" i="2"/>
  <c r="E196" i="2"/>
  <c r="E197" i="2"/>
  <c r="E198" i="2"/>
  <c r="E199" i="2"/>
  <c r="E200" i="2"/>
  <c r="E201" i="2"/>
  <c r="E202" i="2"/>
  <c r="E203" i="2"/>
  <c r="E204" i="2"/>
  <c r="E205" i="2"/>
  <c r="E206" i="2"/>
  <c r="E207" i="2"/>
  <c r="E208" i="2"/>
  <c r="E209" i="2"/>
  <c r="E210" i="2"/>
  <c r="E211" i="2"/>
  <c r="E212" i="2"/>
  <c r="E213" i="2"/>
  <c r="E214" i="2"/>
  <c r="E215" i="2"/>
  <c r="E216" i="2"/>
  <c r="E217" i="2"/>
  <c r="E218" i="2"/>
  <c r="E219" i="2"/>
  <c r="E220" i="2"/>
  <c r="E221" i="2"/>
  <c r="E222" i="2"/>
  <c r="E223" i="2"/>
  <c r="E224" i="2"/>
  <c r="E225" i="2"/>
  <c r="E226" i="2"/>
  <c r="E227" i="2"/>
  <c r="E228" i="2"/>
  <c r="E229" i="2"/>
  <c r="E230" i="2"/>
  <c r="E231" i="2"/>
  <c r="E232" i="2"/>
  <c r="E233" i="2"/>
  <c r="E234" i="2"/>
  <c r="E235" i="2"/>
  <c r="E236" i="2"/>
  <c r="E237" i="2"/>
  <c r="E238" i="2"/>
  <c r="E239" i="2"/>
  <c r="E240" i="2"/>
  <c r="E241" i="2"/>
  <c r="E242" i="2"/>
  <c r="E243" i="2"/>
  <c r="E244" i="2"/>
  <c r="E245" i="2"/>
  <c r="E246" i="2"/>
  <c r="E247" i="2"/>
  <c r="E248" i="2"/>
  <c r="E249" i="2"/>
  <c r="E250" i="2"/>
  <c r="E251" i="2"/>
  <c r="E252" i="2"/>
  <c r="E253" i="2"/>
  <c r="E254" i="2"/>
  <c r="E255" i="2"/>
  <c r="E256" i="2"/>
  <c r="E257" i="2"/>
  <c r="E258" i="2"/>
  <c r="E259" i="2"/>
  <c r="E260" i="2"/>
  <c r="E261" i="2"/>
  <c r="E262" i="2"/>
  <c r="E263" i="2"/>
  <c r="E264" i="2"/>
  <c r="E265" i="2"/>
  <c r="E266" i="2"/>
  <c r="E267" i="2"/>
  <c r="E268" i="2"/>
  <c r="E269" i="2"/>
  <c r="E270" i="2"/>
  <c r="E271" i="2"/>
  <c r="E272" i="2"/>
  <c r="E273" i="2"/>
  <c r="E274" i="2"/>
  <c r="E275" i="2"/>
  <c r="E276" i="2"/>
  <c r="E277" i="2"/>
  <c r="E278" i="2"/>
  <c r="E279" i="2"/>
  <c r="E280" i="2"/>
  <c r="E281" i="2"/>
  <c r="E282" i="2"/>
  <c r="E283" i="2"/>
  <c r="E284" i="2"/>
  <c r="E285" i="2"/>
  <c r="E286" i="2"/>
  <c r="E287" i="2"/>
  <c r="E288" i="2"/>
  <c r="E289" i="2"/>
  <c r="E290" i="2"/>
  <c r="E291" i="2"/>
  <c r="E292" i="2"/>
  <c r="E293" i="2"/>
  <c r="E294" i="2"/>
  <c r="E295" i="2"/>
  <c r="E296" i="2"/>
  <c r="E297" i="2"/>
  <c r="E298" i="2"/>
  <c r="E299" i="2"/>
  <c r="E300" i="2"/>
  <c r="E301" i="2"/>
  <c r="E302" i="2"/>
  <c r="E303" i="2"/>
  <c r="E304" i="2"/>
  <c r="E305" i="2"/>
  <c r="E306" i="2"/>
  <c r="E307" i="2"/>
  <c r="E308" i="2"/>
  <c r="E309" i="2"/>
  <c r="E310" i="2"/>
  <c r="E311" i="2"/>
  <c r="E312" i="2"/>
  <c r="E313" i="2"/>
  <c r="E314" i="2"/>
  <c r="E315" i="2"/>
  <c r="E316" i="2"/>
  <c r="E317" i="2"/>
  <c r="E318" i="2"/>
  <c r="E319" i="2"/>
  <c r="E320" i="2"/>
  <c r="E321" i="2"/>
  <c r="E322" i="2"/>
  <c r="E323" i="2"/>
  <c r="E324" i="2"/>
  <c r="E325" i="2"/>
  <c r="E326" i="2"/>
  <c r="E327" i="2"/>
  <c r="E328" i="2"/>
  <c r="E329" i="2"/>
  <c r="E330" i="2"/>
  <c r="E331" i="2"/>
  <c r="E332" i="2"/>
  <c r="E333" i="2"/>
  <c r="E334" i="2"/>
  <c r="E335" i="2"/>
  <c r="E336" i="2"/>
  <c r="E337" i="2"/>
  <c r="E338" i="2"/>
  <c r="E339" i="2"/>
  <c r="E340" i="2"/>
  <c r="E341" i="2"/>
  <c r="E342" i="2"/>
  <c r="E343" i="2"/>
  <c r="E344" i="2"/>
  <c r="E345" i="2"/>
  <c r="E346" i="2"/>
  <c r="E347" i="2"/>
  <c r="E348" i="2"/>
  <c r="E349" i="2"/>
  <c r="E350" i="2"/>
  <c r="E351" i="2"/>
  <c r="E352" i="2"/>
  <c r="E353" i="2"/>
  <c r="E354" i="2"/>
  <c r="E355" i="2"/>
  <c r="E356" i="2"/>
  <c r="E357" i="2"/>
  <c r="E358" i="2"/>
  <c r="E359" i="2"/>
  <c r="E360" i="2"/>
  <c r="E361" i="2"/>
  <c r="E362" i="2"/>
  <c r="E363" i="2"/>
  <c r="E364" i="2"/>
  <c r="E365" i="2"/>
  <c r="E366" i="2"/>
  <c r="E367" i="2"/>
  <c r="E368" i="2"/>
  <c r="E369" i="2"/>
  <c r="E370" i="2"/>
  <c r="E371" i="2"/>
  <c r="E372" i="2"/>
  <c r="E373" i="2"/>
  <c r="E374" i="2"/>
  <c r="E375" i="2"/>
  <c r="E376" i="2"/>
  <c r="E377" i="2"/>
  <c r="E378" i="2"/>
  <c r="E379" i="2"/>
  <c r="E380" i="2"/>
  <c r="E381" i="2"/>
  <c r="E382" i="2"/>
  <c r="E383" i="2"/>
  <c r="E384" i="2"/>
  <c r="E385" i="2"/>
  <c r="E386" i="2"/>
  <c r="E387" i="2"/>
  <c r="E388" i="2"/>
  <c r="E389" i="2"/>
  <c r="E390" i="2"/>
  <c r="E391" i="2"/>
  <c r="E392" i="2"/>
  <c r="E393" i="2"/>
  <c r="E394" i="2"/>
  <c r="E395" i="2"/>
  <c r="E396" i="2"/>
  <c r="E397" i="2"/>
  <c r="E398" i="2"/>
  <c r="E399" i="2"/>
  <c r="E400" i="2"/>
  <c r="E401" i="2"/>
  <c r="E402" i="2"/>
  <c r="E403" i="2"/>
  <c r="E404" i="2"/>
  <c r="E405" i="2"/>
  <c r="E406" i="2"/>
  <c r="E407" i="2"/>
  <c r="E408" i="2"/>
  <c r="E409" i="2"/>
  <c r="E410" i="2"/>
  <c r="E411" i="2"/>
  <c r="E412" i="2"/>
  <c r="E413" i="2"/>
  <c r="E414" i="2"/>
  <c r="E415" i="2"/>
  <c r="E416" i="2"/>
  <c r="E417" i="2"/>
  <c r="E418" i="2"/>
  <c r="E419" i="2"/>
  <c r="E420" i="2"/>
  <c r="E421" i="2"/>
  <c r="E422" i="2"/>
  <c r="E423" i="2"/>
  <c r="E424" i="2"/>
  <c r="E425" i="2"/>
  <c r="E426" i="2"/>
  <c r="E427" i="2"/>
  <c r="E428" i="2"/>
  <c r="E429" i="2"/>
  <c r="E430" i="2"/>
  <c r="E431" i="2"/>
  <c r="E432" i="2"/>
  <c r="E433" i="2"/>
  <c r="E434" i="2"/>
  <c r="E435" i="2"/>
  <c r="E436" i="2"/>
  <c r="E437" i="2"/>
  <c r="E438" i="2"/>
  <c r="E439" i="2"/>
  <c r="E440" i="2"/>
  <c r="E441" i="2"/>
  <c r="E442" i="2"/>
  <c r="E443" i="2"/>
  <c r="E444" i="2"/>
  <c r="E445" i="2"/>
  <c r="E446" i="2"/>
  <c r="E447" i="2"/>
  <c r="E448" i="2"/>
  <c r="E449" i="2"/>
  <c r="E450" i="2"/>
  <c r="E451" i="2"/>
  <c r="E452" i="2"/>
  <c r="E453" i="2"/>
  <c r="E454" i="2"/>
  <c r="E455" i="2"/>
  <c r="E456" i="2"/>
  <c r="E457" i="2"/>
  <c r="E458" i="2"/>
  <c r="E459" i="2"/>
  <c r="E460" i="2"/>
  <c r="E461" i="2"/>
  <c r="E462" i="2"/>
  <c r="E463" i="2"/>
  <c r="E464" i="2"/>
  <c r="E465" i="2"/>
  <c r="E466" i="2"/>
  <c r="E467" i="2"/>
  <c r="E468" i="2"/>
  <c r="E469" i="2"/>
  <c r="E470" i="2"/>
  <c r="E471" i="2"/>
  <c r="E472" i="2"/>
  <c r="E473" i="2"/>
  <c r="E474" i="2"/>
  <c r="E475" i="2"/>
  <c r="E476" i="2"/>
  <c r="E477" i="2"/>
  <c r="E478" i="2"/>
  <c r="E479" i="2"/>
  <c r="E480" i="2"/>
  <c r="E481" i="2"/>
  <c r="E482" i="2"/>
  <c r="E483" i="2"/>
  <c r="E484" i="2"/>
  <c r="E485" i="2"/>
  <c r="E486" i="2"/>
  <c r="E487" i="2"/>
  <c r="E488" i="2"/>
  <c r="E489" i="2"/>
  <c r="E490" i="2"/>
  <c r="E491" i="2"/>
  <c r="E492" i="2"/>
  <c r="E493" i="2"/>
  <c r="E494" i="2"/>
  <c r="E495" i="2"/>
  <c r="E496" i="2"/>
  <c r="E497" i="2"/>
  <c r="E498" i="2"/>
  <c r="E499" i="2"/>
  <c r="E500" i="2"/>
  <c r="E501" i="2"/>
  <c r="E502" i="2"/>
  <c r="E503" i="2"/>
  <c r="E504" i="2"/>
  <c r="E505" i="2"/>
  <c r="E506" i="2"/>
  <c r="E507" i="2"/>
  <c r="E508" i="2"/>
  <c r="E509" i="2"/>
  <c r="E510" i="2"/>
  <c r="E511" i="2"/>
  <c r="E512" i="2"/>
  <c r="E513" i="2"/>
  <c r="E514" i="2"/>
  <c r="E515" i="2"/>
  <c r="E516" i="2"/>
  <c r="E517" i="2"/>
  <c r="E518" i="2"/>
  <c r="E519" i="2"/>
  <c r="E520" i="2"/>
  <c r="E521" i="2"/>
  <c r="E522" i="2"/>
  <c r="E523" i="2"/>
  <c r="E524" i="2"/>
  <c r="E525" i="2"/>
  <c r="E526" i="2"/>
  <c r="E527" i="2"/>
  <c r="E528" i="2"/>
  <c r="E529" i="2"/>
  <c r="E530" i="2"/>
  <c r="E531" i="2"/>
  <c r="E532" i="2"/>
  <c r="E533" i="2"/>
  <c r="E534" i="2"/>
  <c r="E535" i="2"/>
  <c r="C12" i="4" l="1"/>
  <c r="C14" i="4" s="1"/>
  <c r="G12" i="4" l="1"/>
  <c r="G13" i="4" s="1"/>
  <c r="C13" i="4"/>
  <c r="J2" i="3"/>
  <c r="I2" i="3"/>
  <c r="E2" i="3"/>
  <c r="F2" i="3"/>
  <c r="F41" i="2" l="1"/>
  <c r="E41" i="2"/>
  <c r="J12" i="4" l="1"/>
  <c r="N12" i="4"/>
  <c r="N13" i="4" s="1"/>
  <c r="J13" i="4" l="1"/>
  <c r="J14" i="4"/>
  <c r="C38" i="7" l="1"/>
  <c r="C48" i="4" l="1"/>
  <c r="J3" i="6"/>
  <c r="I3" i="6"/>
  <c r="K12" i="4" l="1"/>
  <c r="M12" i="4"/>
  <c r="M13" i="4" s="1"/>
  <c r="D19" i="4"/>
  <c r="C19" i="4"/>
  <c r="D18" i="4"/>
  <c r="C18" i="4"/>
  <c r="C42" i="4"/>
  <c r="D41" i="4" l="1"/>
  <c r="E41" i="4" s="1"/>
  <c r="J1" i="4"/>
  <c r="D40" i="4"/>
  <c r="E40" i="4" s="1"/>
  <c r="L12" i="4"/>
  <c r="D42" i="4"/>
  <c r="E42" i="4" s="1"/>
  <c r="C20" i="4"/>
  <c r="D20" i="4"/>
  <c r="E19" i="4"/>
  <c r="E18" i="4"/>
  <c r="K14" i="4" l="1"/>
  <c r="K13" i="4"/>
  <c r="E20" i="4"/>
  <c r="D12" i="4" l="1"/>
  <c r="F12" i="4"/>
  <c r="F13" i="4" s="1"/>
  <c r="E12" i="4" l="1"/>
  <c r="D13" i="4"/>
  <c r="E11" i="4"/>
  <c r="C43" i="4"/>
  <c r="E13" i="4" l="1"/>
  <c r="C27" i="7" s="1"/>
  <c r="N14" i="4"/>
  <c r="M14" i="4"/>
  <c r="G14" i="4"/>
  <c r="C33" i="7" s="1"/>
  <c r="F14" i="4"/>
  <c r="D43" i="4"/>
  <c r="E43" i="4" s="1"/>
  <c r="A2" i="2"/>
  <c r="E10" i="4"/>
  <c r="L10" i="4"/>
  <c r="C23" i="7" l="1"/>
  <c r="C39" i="7"/>
  <c r="L13" i="4"/>
  <c r="C40" i="7" s="1"/>
  <c r="A1" i="2" l="1"/>
  <c r="C41" i="7" s="1"/>
</calcChain>
</file>

<file path=xl/sharedStrings.xml><?xml version="1.0" encoding="utf-8"?>
<sst xmlns="http://schemas.openxmlformats.org/spreadsheetml/2006/main" count="101" uniqueCount="64">
  <si>
    <t>Cost per patient if thrombolysed</t>
  </si>
  <si>
    <t>Cost per patient if thrombolysed female</t>
  </si>
  <si>
    <t>Cost per patient if thrombolysed male</t>
  </si>
  <si>
    <t>ICH</t>
  </si>
  <si>
    <t>Current</t>
  </si>
  <si>
    <t>Aspirational</t>
  </si>
  <si>
    <t>Cost ICH</t>
  </si>
  <si>
    <t>total</t>
  </si>
  <si>
    <t>Change in cost</t>
  </si>
  <si>
    <t>Cost ICH women</t>
  </si>
  <si>
    <t>Cost ICH men</t>
  </si>
  <si>
    <t>Cost ischaemic stroke not thrombolysed women</t>
  </si>
  <si>
    <t>Cost ischaemic stroke not thrombolysed men</t>
  </si>
  <si>
    <t>NHS cost</t>
  </si>
  <si>
    <t>Social care cost</t>
  </si>
  <si>
    <t>% discharged with ESD</t>
  </si>
  <si>
    <t>proportion of eligible patients thrombolysed</t>
  </si>
  <si>
    <t>Cost conventional discharge</t>
  </si>
  <si>
    <t>Total</t>
  </si>
  <si>
    <t>% thrombolysed of eligible (H16.55)</t>
  </si>
  <si>
    <t>1 year NHS cost</t>
  </si>
  <si>
    <t>Number of thrombolysed patients</t>
  </si>
  <si>
    <t>Number of non-thrombolysed patients</t>
  </si>
  <si>
    <t>Number of  ICH</t>
  </si>
  <si>
    <t>Aspirational % eligible</t>
  </si>
  <si>
    <t>Aspirational thromb rate out of eligible</t>
  </si>
  <si>
    <t>Aspirational % of all patients</t>
  </si>
  <si>
    <t>Current % of all patients</t>
  </si>
  <si>
    <t>decreasing</t>
  </si>
  <si>
    <t>proportion of ischaemic patients  thrombolysed</t>
  </si>
  <si>
    <t>Thrombolysed out of ischaemic</t>
  </si>
  <si>
    <t>New eligibility (box 4)</t>
  </si>
  <si>
    <t>Number of aspirational eligible patients</t>
  </si>
  <si>
    <t>Number of aspirational eligible patients thrombolysed</t>
  </si>
  <si>
    <t>Cost ischaemic patients</t>
  </si>
  <si>
    <t>Scenario 1: Current situation</t>
  </si>
  <si>
    <t>Summary</t>
  </si>
  <si>
    <t>Data Box</t>
  </si>
  <si>
    <t>Description of variable (Reference)</t>
  </si>
  <si>
    <t>More information about the model can be found in the 'Further details' tab</t>
  </si>
  <si>
    <t>Go to 'Further details' tab</t>
  </si>
  <si>
    <t>Health Economics Thrombolysis Tool</t>
  </si>
  <si>
    <t>SSNAP Health Economics Thrombolysis tool</t>
  </si>
  <si>
    <t>Purpose of tool</t>
  </si>
  <si>
    <t xml:space="preserve">SSNAP has reported on quality of care measures since 2013. The aim of this tool is to illustrate the opportunity to save health and social care costs for your cohort of patients and provide financial management information to complement quality of care information from SSNAP. </t>
  </si>
  <si>
    <t>Eligible patients not thrombolysed</t>
  </si>
  <si>
    <t>Cost patients discharged with ESD</t>
  </si>
  <si>
    <t>Scenario 2: 20% thrombolysed</t>
  </si>
  <si>
    <t xml:space="preserve">Scenario 2: What if you thrombolyse 20% of patients? </t>
  </si>
  <si>
    <t>Scenario 4: What if you change the percentage thrombolysed?</t>
  </si>
  <si>
    <t>Change the percentage of patients thrombolysed to</t>
  </si>
  <si>
    <t>Scenario 3: 16.0% thrombolysed</t>
  </si>
  <si>
    <t>Scenario 3: What if you thrombolyse 16.0% of patients ?</t>
  </si>
  <si>
    <t>Scenario 4: Setting a new level of patients thrombolysed</t>
  </si>
  <si>
    <t>Number of patients thrombolysed</t>
  </si>
  <si>
    <t>thrombolysed 20%</t>
  </si>
  <si>
    <t>thrombolysed 16%</t>
  </si>
  <si>
    <t>Aspirational total number of patients thrombolysed</t>
  </si>
  <si>
    <r>
      <rPr>
        <b/>
        <sz val="11"/>
        <color theme="1"/>
        <rFont val="Calibri"/>
        <family val="2"/>
        <scheme val="minor"/>
      </rPr>
      <t>Note:</t>
    </r>
    <r>
      <rPr>
        <sz val="11"/>
        <color theme="1"/>
        <rFont val="Calibri"/>
        <family val="2"/>
        <scheme val="minor"/>
      </rPr>
      <t xml:space="preserve"> Some of the values in the Data Box have been restricted to certain values to avoid unrealistic results. The restrictions are:
A minimum of 20 patients must be entered
The percentage of female patients must be between 35% and 65%
The percentage of infarctions must be between 70% and 100%
The percentage of all strokes thrombolysed must be between 0% and 30% 
</t>
    </r>
  </si>
  <si>
    <t>Number of stroke patients (F1.1)</t>
  </si>
  <si>
    <t>Percentage of female patients (F3.3)</t>
  </si>
  <si>
    <t>Percentage of infarctions (F7.3)</t>
  </si>
  <si>
    <t>Percentage of all strokes thrombolysed (KI 3.1)</t>
  </si>
  <si>
    <t>Version 1.0 (August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</si>
</sst>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6" formatCode="&quot;£&quot;#,##0;[Red]\-&quot;£&quot;#,##0"/>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_(&quot;£&quot;* #,##0.00_);_(&quot;£&quot;* \(#,##0.00\);_(&quot;£&quot;* &quot;-&quot;??_);_(@_)"/>
    <numFmt numFmtId="167" formatCode="0.0"/>
    <numFmt numFmtId="168" formatCode="0.0%"/>
    <numFmt numFmtId="169" formatCode="_-* #,##0_-;\-* #,##0_-;_-* &quot;-&quot;??_-;_-@_-"/>
    <numFmt numFmtId="170" formatCode="&quot;£&quot;#,##0"/>
    <numFmt numFmtId="171" formatCode="0.000E+00"/>
  </numFmts>
  <fonts count="36" x14ac:knownFonts="1">
    <font>
      <sz val="11"/>
      <color theme="1"/>
      <name val="Calibri"/>
      <family val="2"/>
      <scheme val="minor"/>
    </font>
    <font>
      <sz val="11"/>
      <color theme="1"/>
      <name val="Calibri"/>
      <family val="2"/>
      <scheme val="minor"/>
    </font>
    <font>
      <i/>
      <sz val="11"/>
      <color rgb="FF7F7F7F"/>
      <name val="Calibri"/>
      <family val="2"/>
      <scheme val="minor"/>
    </font>
    <font>
      <b/>
      <sz val="11"/>
      <color theme="1"/>
      <name val="Calibri"/>
      <family val="2"/>
      <scheme val="minor"/>
    </font>
    <font>
      <sz val="11"/>
      <color theme="1"/>
      <name val="Arial"/>
      <family val="2"/>
    </font>
    <font>
      <sz val="10"/>
      <name val="Arial"/>
      <family val="2"/>
    </font>
    <font>
      <sz val="10"/>
      <color theme="1"/>
      <name val="Arial"/>
      <family val="2"/>
    </font>
    <font>
      <sz val="10"/>
      <name val="Tahoma"/>
      <family val="2"/>
    </font>
    <font>
      <u/>
      <sz val="10"/>
      <color theme="10"/>
      <name val="Arial"/>
      <family val="2"/>
    </font>
    <font>
      <u/>
      <sz val="11"/>
      <color theme="10"/>
      <name val="Calibri"/>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Calibri"/>
      <family val="2"/>
    </font>
    <font>
      <u/>
      <sz val="11"/>
      <color theme="10"/>
      <name val="Calibri"/>
      <family val="2"/>
      <scheme val="minor"/>
    </font>
    <font>
      <b/>
      <sz val="22"/>
      <color theme="1"/>
      <name val="Calibri"/>
      <family val="2"/>
      <scheme val="minor"/>
    </font>
    <font>
      <sz val="36"/>
      <color theme="1"/>
      <name val="Calibri"/>
      <family val="2"/>
      <scheme val="minor"/>
    </font>
    <font>
      <b/>
      <sz val="20"/>
      <color rgb="FFFF0000"/>
      <name val="Calibri"/>
      <family val="2"/>
      <scheme val="minor"/>
    </font>
    <font>
      <sz val="11"/>
      <name val="Calibri"/>
      <family val="2"/>
      <scheme val="minor"/>
    </font>
    <font>
      <u/>
      <sz val="20"/>
      <color theme="1"/>
      <name val="Calibri"/>
      <family val="2"/>
      <scheme val="minor"/>
    </font>
    <font>
      <sz val="20"/>
      <color theme="1"/>
      <name val="Calibri"/>
      <family val="2"/>
      <scheme val="minor"/>
    </font>
  </fonts>
  <fills count="33">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theme="6" tint="0.59999389629810485"/>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FFFFFF"/>
        <bgColor indexed="64"/>
      </patternFill>
    </fill>
  </fills>
  <borders count="20">
    <border>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top style="thin">
        <color indexed="64"/>
      </top>
      <bottom/>
      <diagonal/>
    </border>
  </borders>
  <cellStyleXfs count="239">
    <xf numFmtId="0" fontId="0"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4" fillId="0" borderId="0"/>
    <xf numFmtId="0" fontId="1" fillId="0" borderId="0"/>
    <xf numFmtId="9" fontId="1" fillId="0" borderId="0" applyFont="0" applyFill="0" applyBorder="0" applyAlignment="0" applyProtection="0"/>
    <xf numFmtId="0" fontId="4" fillId="0" borderId="0"/>
    <xf numFmtId="44" fontId="4" fillId="0" borderId="0" applyFont="0" applyFill="0" applyBorder="0" applyAlignment="0" applyProtection="0"/>
    <xf numFmtId="43" fontId="4" fillId="0" borderId="0" applyFont="0" applyFill="0" applyBorder="0" applyAlignment="0" applyProtection="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164" fontId="7" fillId="0" borderId="0" applyFont="0" applyFill="0" applyBorder="0" applyAlignment="0" applyProtection="0"/>
    <xf numFmtId="165"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5"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5" fillId="0" borderId="0"/>
    <xf numFmtId="0" fontId="6" fillId="0" borderId="0"/>
    <xf numFmtId="0" fontId="1" fillId="0" borderId="0"/>
    <xf numFmtId="0" fontId="5" fillId="0" borderId="0"/>
    <xf numFmtId="0" fontId="1" fillId="0" borderId="0"/>
    <xf numFmtId="0" fontId="1" fillId="0" borderId="0"/>
    <xf numFmtId="0" fontId="5" fillId="0" borderId="0"/>
    <xf numFmtId="0" fontId="1" fillId="0" borderId="0"/>
    <xf numFmtId="0" fontId="5" fillId="0" borderId="0"/>
    <xf numFmtId="0" fontId="5" fillId="0" borderId="0"/>
    <xf numFmtId="0" fontId="5" fillId="0" borderId="0"/>
    <xf numFmtId="0" fontId="5" fillId="0" borderId="0"/>
    <xf numFmtId="0" fontId="5" fillId="0" borderId="0"/>
    <xf numFmtId="0" fontId="1" fillId="0" borderId="0"/>
    <xf numFmtId="0" fontId="5" fillId="0" borderId="0"/>
    <xf numFmtId="0" fontId="5" fillId="0" borderId="0"/>
    <xf numFmtId="0" fontId="5" fillId="0" borderId="0"/>
    <xf numFmtId="9" fontId="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9" borderId="0" applyNumberFormat="0" applyBorder="0" applyAlignment="0" applyProtection="0"/>
    <xf numFmtId="0" fontId="11" fillId="12" borderId="0" applyNumberFormat="0" applyBorder="0" applyAlignment="0" applyProtection="0"/>
    <xf numFmtId="0" fontId="11" fillId="15" borderId="0" applyNumberFormat="0" applyBorder="0" applyAlignment="0" applyProtection="0"/>
    <xf numFmtId="0" fontId="12" fillId="16"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17" borderId="0" applyNumberFormat="0" applyBorder="0" applyAlignment="0" applyProtection="0"/>
    <xf numFmtId="0" fontId="12" fillId="18" borderId="0" applyNumberFormat="0" applyBorder="0" applyAlignment="0" applyProtection="0"/>
    <xf numFmtId="0" fontId="12" fillId="23" borderId="0" applyNumberFormat="0" applyBorder="0" applyAlignment="0" applyProtection="0"/>
    <xf numFmtId="0" fontId="13" fillId="7" borderId="0" applyNumberFormat="0" applyBorder="0" applyAlignment="0" applyProtection="0"/>
    <xf numFmtId="0" fontId="14" fillId="11" borderId="8" applyNumberFormat="0" applyAlignment="0" applyProtection="0"/>
    <xf numFmtId="0" fontId="15" fillId="24" borderId="9" applyNumberFormat="0" applyAlignment="0" applyProtection="0"/>
    <xf numFmtId="0" fontId="16" fillId="0" borderId="0" applyNumberFormat="0" applyFill="0" applyBorder="0" applyAlignment="0" applyProtection="0"/>
    <xf numFmtId="0" fontId="17" fillId="8" borderId="0" applyNumberFormat="0" applyBorder="0" applyAlignment="0" applyProtection="0"/>
    <xf numFmtId="0" fontId="18" fillId="0" borderId="10" applyNumberFormat="0" applyFill="0" applyAlignment="0" applyProtection="0"/>
    <xf numFmtId="0" fontId="19" fillId="0" borderId="11" applyNumberFormat="0" applyFill="0" applyAlignment="0" applyProtection="0"/>
    <xf numFmtId="0" fontId="20" fillId="0" borderId="12" applyNumberFormat="0" applyFill="0" applyAlignment="0" applyProtection="0"/>
    <xf numFmtId="0" fontId="20" fillId="0" borderId="0" applyNumberFormat="0" applyFill="0" applyBorder="0" applyAlignment="0" applyProtection="0"/>
    <xf numFmtId="0" fontId="21" fillId="11" borderId="8" applyNumberFormat="0" applyAlignment="0" applyProtection="0"/>
    <xf numFmtId="0" fontId="22" fillId="0" borderId="13" applyNumberFormat="0" applyFill="0" applyAlignment="0" applyProtection="0"/>
    <xf numFmtId="0" fontId="23" fillId="25" borderId="0" applyNumberFormat="0" applyBorder="0" applyAlignment="0" applyProtection="0"/>
    <xf numFmtId="0" fontId="5" fillId="26" borderId="14" applyNumberFormat="0" applyFont="0" applyAlignment="0" applyProtection="0"/>
    <xf numFmtId="0" fontId="24" fillId="11" borderId="15" applyNumberFormat="0" applyAlignment="0" applyProtection="0"/>
    <xf numFmtId="0" fontId="25" fillId="0" borderId="0" applyNumberFormat="0" applyFill="0" applyBorder="0" applyAlignment="0" applyProtection="0"/>
    <xf numFmtId="0" fontId="26" fillId="0" borderId="16" applyNumberFormat="0" applyFill="0" applyAlignment="0" applyProtection="0"/>
    <xf numFmtId="0" fontId="27" fillId="0" borderId="0" applyNumberFormat="0" applyFill="0" applyBorder="0" applyAlignment="0" applyProtection="0"/>
    <xf numFmtId="0" fontId="2" fillId="0" borderId="0" applyNumberFormat="0" applyFill="0" applyBorder="0" applyAlignment="0" applyProtection="0"/>
    <xf numFmtId="43" fontId="1" fillId="0" borderId="0" applyFont="0" applyFill="0" applyBorder="0" applyAlignment="0" applyProtection="0"/>
    <xf numFmtId="0" fontId="5" fillId="26" borderId="14" applyNumberFormat="0" applyFont="0" applyAlignment="0" applyProtection="0"/>
    <xf numFmtId="0" fontId="1" fillId="0" borderId="0"/>
    <xf numFmtId="44" fontId="4" fillId="0" borderId="0" applyFont="0" applyFill="0" applyBorder="0" applyAlignment="0" applyProtection="0"/>
    <xf numFmtId="9"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164" fontId="5" fillId="0" borderId="0" applyFont="0" applyFill="0" applyBorder="0" applyAlignment="0" applyProtection="0"/>
    <xf numFmtId="164" fontId="4" fillId="0" borderId="0" applyFont="0" applyFill="0" applyBorder="0" applyAlignment="0" applyProtection="0"/>
    <xf numFmtId="166" fontId="5" fillId="0" borderId="0" applyFont="0" applyFill="0" applyBorder="0" applyAlignment="0" applyProtection="0"/>
    <xf numFmtId="166" fontId="4" fillId="0" borderId="0" applyFont="0" applyFill="0" applyBorder="0" applyAlignment="0" applyProtection="0"/>
    <xf numFmtId="0" fontId="5" fillId="0" borderId="0"/>
    <xf numFmtId="0" fontId="1" fillId="0" borderId="0"/>
    <xf numFmtId="0" fontId="28" fillId="0" borderId="0"/>
    <xf numFmtId="0" fontId="4" fillId="0" borderId="0"/>
    <xf numFmtId="0" fontId="5" fillId="0" borderId="0"/>
    <xf numFmtId="0" fontId="5" fillId="0" borderId="0"/>
    <xf numFmtId="0" fontId="5" fillId="0" borderId="0"/>
    <xf numFmtId="0" fontId="5" fillId="0" borderId="0"/>
    <xf numFmtId="0" fontId="1" fillId="0" borderId="0"/>
    <xf numFmtId="0" fontId="1" fillId="0" borderId="0"/>
    <xf numFmtId="0" fontId="28" fillId="0" borderId="0"/>
    <xf numFmtId="43" fontId="4" fillId="0" borderId="0" applyFont="0" applyFill="0" applyBorder="0" applyAlignment="0" applyProtection="0"/>
    <xf numFmtId="44" fontId="4"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164" fontId="4" fillId="0" borderId="0" applyFont="0" applyFill="0" applyBorder="0" applyAlignment="0" applyProtection="0"/>
    <xf numFmtId="0" fontId="29" fillId="0" borderId="0" applyNumberFormat="0" applyFill="0" applyBorder="0" applyAlignment="0" applyProtection="0"/>
    <xf numFmtId="0" fontId="8" fillId="0" borderId="0" applyNumberFormat="0" applyFill="0" applyBorder="0" applyAlignment="0" applyProtection="0"/>
    <xf numFmtId="0" fontId="1" fillId="0" borderId="0"/>
    <xf numFmtId="0" fontId="1" fillId="0" borderId="0"/>
    <xf numFmtId="9" fontId="1" fillId="0" borderId="0" applyFont="0" applyFill="0" applyBorder="0" applyAlignment="0" applyProtection="0"/>
    <xf numFmtId="0" fontId="4" fillId="0" borderId="0"/>
    <xf numFmtId="43"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4" fillId="0" borderId="0" applyFont="0" applyFill="0" applyBorder="0" applyAlignment="0" applyProtection="0"/>
    <xf numFmtId="164" fontId="7" fillId="0" borderId="0" applyFont="0" applyFill="0" applyBorder="0" applyAlignment="0" applyProtection="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5" fillId="0" borderId="0"/>
    <xf numFmtId="0" fontId="1" fillId="0" borderId="0"/>
    <xf numFmtId="0" fontId="6" fillId="0" borderId="0"/>
    <xf numFmtId="0" fontId="1" fillId="0" borderId="0"/>
    <xf numFmtId="0" fontId="1" fillId="0" borderId="0"/>
    <xf numFmtId="0" fontId="1" fillId="0" borderId="0"/>
    <xf numFmtId="0" fontId="1" fillId="0" borderId="0"/>
    <xf numFmtId="0" fontId="5" fillId="0" borderId="0"/>
    <xf numFmtId="0" fontId="1" fillId="0" borderId="0"/>
    <xf numFmtId="9" fontId="1" fillId="0" borderId="0" applyFont="0" applyFill="0" applyBorder="0" applyAlignment="0" applyProtection="0"/>
    <xf numFmtId="44" fontId="1" fillId="0" borderId="0" applyFont="0" applyFill="0" applyBorder="0" applyAlignment="0" applyProtection="0"/>
    <xf numFmtId="43" fontId="5" fillId="0" borderId="0" applyFont="0" applyFill="0" applyBorder="0" applyAlignment="0" applyProtection="0"/>
    <xf numFmtId="0" fontId="1" fillId="0" borderId="0"/>
    <xf numFmtId="0" fontId="29" fillId="0" borderId="0" applyNumberFormat="0" applyFill="0" applyBorder="0" applyAlignment="0" applyProtection="0"/>
  </cellStyleXfs>
  <cellXfs count="94">
    <xf numFmtId="0" fontId="0" fillId="0" borderId="0" xfId="0"/>
    <xf numFmtId="2" fontId="0" fillId="0" borderId="0" xfId="0" applyNumberFormat="1"/>
    <xf numFmtId="0" fontId="0" fillId="0" borderId="0" xfId="0" applyAlignment="1">
      <alignment wrapText="1"/>
    </xf>
    <xf numFmtId="0" fontId="0" fillId="0" borderId="0" xfId="0" applyAlignment="1"/>
    <xf numFmtId="0" fontId="0" fillId="2" borderId="0" xfId="0" applyFill="1"/>
    <xf numFmtId="0" fontId="0" fillId="3" borderId="0" xfId="0" applyFill="1"/>
    <xf numFmtId="2" fontId="0" fillId="3" borderId="0" xfId="0" applyNumberFormat="1" applyFill="1"/>
    <xf numFmtId="0" fontId="0" fillId="4" borderId="0" xfId="0" applyFill="1"/>
    <xf numFmtId="2" fontId="0" fillId="0" borderId="0" xfId="0" applyNumberFormat="1"/>
    <xf numFmtId="0" fontId="0" fillId="5" borderId="0" xfId="0" applyFill="1"/>
    <xf numFmtId="2" fontId="0" fillId="5" borderId="0" xfId="0" applyNumberFormat="1" applyFill="1"/>
    <xf numFmtId="6" fontId="0" fillId="2" borderId="0" xfId="0" applyNumberFormat="1" applyFill="1"/>
    <xf numFmtId="1" fontId="0" fillId="3" borderId="0" xfId="0" applyNumberFormat="1" applyFill="1"/>
    <xf numFmtId="6" fontId="0" fillId="0" borderId="0" xfId="0" applyNumberFormat="1"/>
    <xf numFmtId="168" fontId="0" fillId="3" borderId="0" xfId="3" applyNumberFormat="1" applyFont="1" applyFill="1"/>
    <xf numFmtId="0" fontId="0" fillId="5" borderId="0" xfId="0" applyFill="1" applyAlignment="1">
      <alignment wrapText="1"/>
    </xf>
    <xf numFmtId="1" fontId="0" fillId="4" borderId="0" xfId="0" applyNumberFormat="1" applyFill="1"/>
    <xf numFmtId="0" fontId="0" fillId="27" borderId="0" xfId="0" applyFill="1"/>
    <xf numFmtId="1" fontId="0" fillId="5" borderId="0" xfId="0" applyNumberFormat="1" applyFill="1"/>
    <xf numFmtId="43" fontId="0" fillId="0" borderId="0" xfId="0" applyNumberFormat="1"/>
    <xf numFmtId="169" fontId="0" fillId="4" borderId="0" xfId="2" applyNumberFormat="1" applyFont="1" applyFill="1"/>
    <xf numFmtId="169" fontId="0" fillId="0" borderId="0" xfId="0" applyNumberFormat="1"/>
    <xf numFmtId="169" fontId="0" fillId="27" borderId="0" xfId="2" applyNumberFormat="1" applyFont="1" applyFill="1"/>
    <xf numFmtId="1" fontId="0" fillId="27" borderId="0" xfId="0" applyNumberFormat="1" applyFill="1"/>
    <xf numFmtId="2" fontId="0" fillId="2" borderId="0" xfId="0" applyNumberFormat="1" applyFill="1"/>
    <xf numFmtId="167" fontId="0" fillId="0" borderId="0" xfId="0" applyNumberFormat="1"/>
    <xf numFmtId="1" fontId="0" fillId="0" borderId="0" xfId="0" applyNumberFormat="1"/>
    <xf numFmtId="170" fontId="0" fillId="0" borderId="0" xfId="0" applyNumberFormat="1"/>
    <xf numFmtId="0" fontId="0" fillId="0" borderId="0" xfId="0" applyAlignment="1">
      <alignment horizontal="center"/>
    </xf>
    <xf numFmtId="0" fontId="0" fillId="0" borderId="0" xfId="0" applyNumberFormat="1" applyFont="1" applyAlignment="1">
      <alignment horizontal="left" vertical="center" wrapText="1"/>
    </xf>
    <xf numFmtId="2" fontId="0" fillId="4" borderId="0" xfId="3" applyNumberFormat="1" applyFont="1" applyFill="1"/>
    <xf numFmtId="2" fontId="0" fillId="4" borderId="0" xfId="2" applyNumberFormat="1" applyFont="1" applyFill="1"/>
    <xf numFmtId="171" fontId="0" fillId="0" borderId="0" xfId="0" applyNumberFormat="1"/>
    <xf numFmtId="44" fontId="0" fillId="27" borderId="0" xfId="1" applyFont="1" applyFill="1"/>
    <xf numFmtId="0" fontId="0" fillId="3" borderId="0" xfId="0" applyFill="1" applyAlignment="1">
      <alignment wrapText="1"/>
    </xf>
    <xf numFmtId="0" fontId="0" fillId="4" borderId="0" xfId="0" applyFill="1" applyAlignment="1">
      <alignment wrapText="1"/>
    </xf>
    <xf numFmtId="0" fontId="30" fillId="0" borderId="0" xfId="0" applyFont="1"/>
    <xf numFmtId="170" fontId="0" fillId="3" borderId="0" xfId="2" applyNumberFormat="1" applyFont="1" applyFill="1"/>
    <xf numFmtId="169" fontId="0" fillId="4" borderId="0" xfId="0" applyNumberFormat="1" applyFill="1"/>
    <xf numFmtId="2" fontId="0" fillId="4" borderId="0" xfId="0" applyNumberFormat="1" applyFill="1"/>
    <xf numFmtId="0" fontId="0" fillId="3" borderId="18" xfId="0" applyFill="1" applyBorder="1" applyAlignment="1" applyProtection="1">
      <alignment horizontal="center" vertical="top"/>
      <protection locked="0" hidden="1"/>
    </xf>
    <xf numFmtId="168" fontId="0" fillId="3" borderId="18" xfId="3" applyNumberFormat="1" applyFont="1" applyFill="1" applyBorder="1" applyAlignment="1" applyProtection="1">
      <alignment horizontal="center" vertical="top"/>
      <protection locked="0" hidden="1"/>
    </xf>
    <xf numFmtId="168" fontId="0" fillId="3" borderId="18" xfId="0" applyNumberFormat="1" applyFill="1" applyBorder="1" applyAlignment="1" applyProtection="1">
      <alignment horizontal="center" vertical="top"/>
      <protection locked="0" hidden="1"/>
    </xf>
    <xf numFmtId="168" fontId="0" fillId="3" borderId="7" xfId="3" applyNumberFormat="1" applyFont="1" applyFill="1" applyBorder="1" applyAlignment="1" applyProtection="1">
      <alignment horizontal="center" vertical="center"/>
      <protection locked="0" hidden="1"/>
    </xf>
    <xf numFmtId="0" fontId="0" fillId="0" borderId="0" xfId="0" applyAlignment="1">
      <alignment horizontal="center"/>
    </xf>
    <xf numFmtId="0" fontId="31" fillId="0" borderId="0" xfId="0" applyFont="1" applyAlignment="1" applyProtection="1">
      <alignment horizontal="center" vertical="top"/>
      <protection hidden="1"/>
    </xf>
    <xf numFmtId="0" fontId="0" fillId="0" borderId="0" xfId="0" applyProtection="1">
      <protection hidden="1"/>
    </xf>
    <xf numFmtId="0" fontId="31" fillId="0" borderId="0" xfId="0" applyFont="1" applyAlignment="1" applyProtection="1">
      <alignment vertical="top"/>
      <protection hidden="1"/>
    </xf>
    <xf numFmtId="0" fontId="34" fillId="0" borderId="0" xfId="0" applyFont="1" applyAlignment="1" applyProtection="1">
      <alignment horizontal="left"/>
      <protection hidden="1"/>
    </xf>
    <xf numFmtId="0" fontId="35" fillId="0" borderId="0" xfId="0" applyFont="1" applyAlignment="1" applyProtection="1">
      <alignment horizontal="left"/>
      <protection hidden="1"/>
    </xf>
    <xf numFmtId="0" fontId="0" fillId="0" borderId="0" xfId="0" applyAlignment="1" applyProtection="1">
      <alignment horizontal="left" vertical="top" wrapText="1"/>
      <protection hidden="1"/>
    </xf>
    <xf numFmtId="0" fontId="32" fillId="0" borderId="1" xfId="0" applyFont="1" applyBorder="1" applyAlignment="1" applyProtection="1">
      <alignment horizontal="center"/>
      <protection hidden="1"/>
    </xf>
    <xf numFmtId="0" fontId="3" fillId="30" borderId="3" xfId="0" applyFont="1" applyFill="1" applyBorder="1" applyAlignment="1" applyProtection="1">
      <alignment horizontal="left" vertical="center"/>
      <protection hidden="1"/>
    </xf>
    <xf numFmtId="0" fontId="3" fillId="30" borderId="2" xfId="0" applyFont="1" applyFill="1" applyBorder="1" applyAlignment="1" applyProtection="1">
      <alignment horizontal="left" vertical="center"/>
      <protection hidden="1"/>
    </xf>
    <xf numFmtId="0" fontId="0" fillId="29" borderId="17" xfId="0" applyFill="1" applyBorder="1" applyAlignment="1" applyProtection="1">
      <alignment horizontal="left" vertical="top"/>
      <protection hidden="1"/>
    </xf>
    <xf numFmtId="0" fontId="0" fillId="29" borderId="17" xfId="0" applyFill="1" applyBorder="1" applyAlignment="1" applyProtection="1">
      <alignment horizontal="left" vertical="top" wrapText="1"/>
      <protection hidden="1"/>
    </xf>
    <xf numFmtId="0" fontId="0" fillId="28" borderId="19" xfId="0" applyFill="1" applyBorder="1" applyAlignment="1" applyProtection="1">
      <alignment horizontal="left" vertical="top" wrapText="1"/>
      <protection hidden="1"/>
    </xf>
    <xf numFmtId="168" fontId="0" fillId="28" borderId="19" xfId="0" applyNumberFormat="1" applyFill="1" applyBorder="1" applyAlignment="1" applyProtection="1">
      <alignment horizontal="center" vertical="top"/>
      <protection hidden="1"/>
    </xf>
    <xf numFmtId="0" fontId="0" fillId="32" borderId="0" xfId="0" applyFill="1" applyBorder="1" applyAlignment="1" applyProtection="1">
      <alignment horizontal="left" vertical="top" wrapText="1"/>
      <protection hidden="1"/>
    </xf>
    <xf numFmtId="0" fontId="0" fillId="0" borderId="0" xfId="0" applyAlignment="1" applyProtection="1">
      <alignment horizontal="left"/>
      <protection hidden="1"/>
    </xf>
    <xf numFmtId="0" fontId="29" fillId="0" borderId="0" xfId="238" applyAlignment="1" applyProtection="1">
      <alignment horizontal="left"/>
      <protection hidden="1"/>
    </xf>
    <xf numFmtId="0" fontId="3" fillId="31" borderId="3" xfId="0" applyFont="1" applyFill="1" applyBorder="1" applyAlignment="1" applyProtection="1">
      <alignment horizontal="center" vertical="center"/>
      <protection hidden="1"/>
    </xf>
    <xf numFmtId="0" fontId="3" fillId="31" borderId="2" xfId="0" applyFont="1" applyFill="1" applyBorder="1" applyAlignment="1" applyProtection="1">
      <alignment horizontal="center" vertical="center"/>
      <protection hidden="1"/>
    </xf>
    <xf numFmtId="0" fontId="0" fillId="0" borderId="3" xfId="0" applyBorder="1" applyAlignment="1" applyProtection="1">
      <alignment horizontal="left" vertical="top"/>
      <protection hidden="1"/>
    </xf>
    <xf numFmtId="0" fontId="0" fillId="0" borderId="2" xfId="0" applyBorder="1" applyAlignment="1" applyProtection="1">
      <alignment horizontal="left" vertical="top"/>
      <protection hidden="1"/>
    </xf>
    <xf numFmtId="0" fontId="0" fillId="0" borderId="3" xfId="0"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0" fillId="0" borderId="0" xfId="0" applyBorder="1" applyAlignment="1" applyProtection="1">
      <alignment horizontal="left" wrapText="1"/>
      <protection hidden="1"/>
    </xf>
    <xf numFmtId="0" fontId="3" fillId="31" borderId="3" xfId="0" applyFont="1" applyFill="1" applyBorder="1" applyAlignment="1" applyProtection="1">
      <alignment horizontal="center" vertical="center" wrapText="1"/>
      <protection hidden="1"/>
    </xf>
    <xf numFmtId="0" fontId="3" fillId="31" borderId="2" xfId="0" applyFont="1" applyFill="1" applyBorder="1" applyAlignment="1" applyProtection="1">
      <alignment horizontal="center" vertical="center" wrapText="1"/>
      <protection hidden="1"/>
    </xf>
    <xf numFmtId="0" fontId="0" fillId="0" borderId="6" xfId="0" applyBorder="1" applyAlignment="1" applyProtection="1">
      <alignment horizontal="left" vertical="top" wrapText="1"/>
      <protection hidden="1"/>
    </xf>
    <xf numFmtId="0" fontId="0" fillId="0" borderId="7" xfId="0" applyBorder="1" applyAlignment="1" applyProtection="1">
      <alignment horizontal="left" vertical="top" wrapText="1"/>
      <protection hidden="1"/>
    </xf>
    <xf numFmtId="0" fontId="0" fillId="0" borderId="17" xfId="0" applyBorder="1" applyAlignment="1" applyProtection="1">
      <alignment horizontal="left" vertical="top" wrapText="1"/>
      <protection hidden="1"/>
    </xf>
    <xf numFmtId="0" fontId="0" fillId="0" borderId="18" xfId="0" applyBorder="1" applyAlignment="1" applyProtection="1">
      <alignment horizontal="left" vertical="top" wrapText="1"/>
      <protection hidden="1"/>
    </xf>
    <xf numFmtId="0" fontId="0" fillId="0" borderId="19" xfId="0" applyBorder="1" applyAlignment="1" applyProtection="1">
      <alignment wrapText="1"/>
      <protection hidden="1"/>
    </xf>
    <xf numFmtId="9" fontId="0" fillId="0" borderId="19" xfId="3" applyFont="1" applyBorder="1" applyAlignment="1" applyProtection="1">
      <alignment horizontal="center" vertical="center"/>
      <protection hidden="1"/>
    </xf>
    <xf numFmtId="0" fontId="33" fillId="0" borderId="3" xfId="0" applyFont="1" applyBorder="1" applyAlignment="1" applyProtection="1">
      <alignment vertical="top" wrapText="1"/>
      <protection hidden="1"/>
    </xf>
    <xf numFmtId="0" fontId="33" fillId="0" borderId="2" xfId="0" applyFont="1" applyBorder="1" applyAlignment="1" applyProtection="1">
      <alignment vertical="top" wrapText="1"/>
      <protection hidden="1"/>
    </xf>
    <xf numFmtId="0" fontId="0" fillId="0" borderId="3" xfId="0" applyBorder="1" applyAlignment="1" applyProtection="1">
      <alignment horizontal="left" vertical="center" wrapText="1"/>
      <protection hidden="1"/>
    </xf>
    <xf numFmtId="0" fontId="0" fillId="0" borderId="2" xfId="0" applyBorder="1" applyAlignment="1" applyProtection="1">
      <alignment horizontal="left" vertical="center" wrapText="1"/>
      <protection hidden="1"/>
    </xf>
    <xf numFmtId="0" fontId="0" fillId="28" borderId="19" xfId="0" applyFill="1" applyBorder="1" applyAlignment="1" applyProtection="1">
      <alignment horizontal="left" vertical="center" wrapText="1"/>
      <protection hidden="1"/>
    </xf>
    <xf numFmtId="0" fontId="0" fillId="28" borderId="0" xfId="0" applyFill="1" applyBorder="1" applyAlignment="1" applyProtection="1">
      <alignment horizontal="left" vertical="center" wrapText="1"/>
      <protection hidden="1"/>
    </xf>
    <xf numFmtId="0" fontId="0" fillId="0" borderId="0" xfId="0" applyBorder="1" applyProtection="1">
      <protection hidden="1"/>
    </xf>
    <xf numFmtId="0" fontId="33" fillId="0" borderId="6" xfId="0" applyFont="1" applyBorder="1" applyAlignment="1" applyProtection="1">
      <alignment vertical="top" wrapText="1"/>
      <protection hidden="1"/>
    </xf>
    <xf numFmtId="0" fontId="0" fillId="28" borderId="3" xfId="0" applyFill="1" applyBorder="1" applyAlignment="1" applyProtection="1">
      <alignment horizontal="left" vertical="center" wrapText="1"/>
      <protection hidden="1"/>
    </xf>
    <xf numFmtId="0" fontId="0" fillId="28" borderId="2" xfId="0" applyFill="1" applyBorder="1" applyAlignment="1" applyProtection="1">
      <alignment horizontal="left" vertical="center" wrapText="1"/>
      <protection hidden="1"/>
    </xf>
    <xf numFmtId="0" fontId="3" fillId="31" borderId="3" xfId="0" applyFont="1" applyFill="1" applyBorder="1" applyAlignment="1" applyProtection="1">
      <alignment horizontal="center"/>
      <protection hidden="1"/>
    </xf>
    <xf numFmtId="0" fontId="3" fillId="31" borderId="2" xfId="0" applyFont="1" applyFill="1" applyBorder="1" applyAlignment="1" applyProtection="1">
      <alignment horizontal="center"/>
      <protection hidden="1"/>
    </xf>
    <xf numFmtId="0" fontId="0" fillId="0" borderId="6" xfId="0" applyFont="1" applyBorder="1" applyAlignment="1" applyProtection="1">
      <alignment horizontal="left" vertical="top" wrapText="1"/>
      <protection hidden="1"/>
    </xf>
    <xf numFmtId="0" fontId="0" fillId="0" borderId="7" xfId="0" applyFont="1" applyBorder="1" applyAlignment="1" applyProtection="1">
      <alignment horizontal="left" vertical="top" wrapText="1"/>
      <protection hidden="1"/>
    </xf>
    <xf numFmtId="0" fontId="0" fillId="0" borderId="17" xfId="0" applyFont="1" applyBorder="1" applyAlignment="1" applyProtection="1">
      <alignment horizontal="left" vertical="top" wrapText="1"/>
      <protection hidden="1"/>
    </xf>
    <xf numFmtId="0" fontId="0" fillId="0" borderId="18" xfId="0" applyFont="1" applyBorder="1" applyAlignment="1" applyProtection="1">
      <alignment horizontal="left" vertical="top" wrapText="1"/>
      <protection hidden="1"/>
    </xf>
    <xf numFmtId="0" fontId="0" fillId="0" borderId="4"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cellXfs>
  <cellStyles count="239">
    <cellStyle name="20% - Accent1 2" xfId="122"/>
    <cellStyle name="20% - Accent2 2" xfId="123"/>
    <cellStyle name="20% - Accent3 2" xfId="124"/>
    <cellStyle name="20% - Accent4 2" xfId="125"/>
    <cellStyle name="20% - Accent5 2" xfId="126"/>
    <cellStyle name="20% - Accent6 2" xfId="127"/>
    <cellStyle name="40% - Accent1 2" xfId="128"/>
    <cellStyle name="40% - Accent2 2" xfId="129"/>
    <cellStyle name="40% - Accent3 2" xfId="130"/>
    <cellStyle name="40% - Accent4 2" xfId="131"/>
    <cellStyle name="40% - Accent5 2" xfId="132"/>
    <cellStyle name="40% - Accent6 2" xfId="133"/>
    <cellStyle name="60% - Accent1 2" xfId="134"/>
    <cellStyle name="60% - Accent2 2" xfId="135"/>
    <cellStyle name="60% - Accent3 2" xfId="136"/>
    <cellStyle name="60% - Accent4 2" xfId="137"/>
    <cellStyle name="60% - Accent5 2" xfId="138"/>
    <cellStyle name="60% - Accent6 2" xfId="139"/>
    <cellStyle name="Accent1 2" xfId="140"/>
    <cellStyle name="Accent2 2" xfId="141"/>
    <cellStyle name="Accent3 2" xfId="142"/>
    <cellStyle name="Accent4 2" xfId="143"/>
    <cellStyle name="Accent5 2" xfId="144"/>
    <cellStyle name="Accent6 2" xfId="145"/>
    <cellStyle name="Bad 2" xfId="146"/>
    <cellStyle name="Calculation 2" xfId="147"/>
    <cellStyle name="Check Cell 2" xfId="148"/>
    <cellStyle name="Comma" xfId="2" builtinId="3"/>
    <cellStyle name="Comma 2" xfId="9"/>
    <cellStyle name="Comma 2 2" xfId="121"/>
    <cellStyle name="Comma 2 2 2" xfId="236"/>
    <cellStyle name="Comma 2 2 3" xfId="191"/>
    <cellStyle name="Comma 2 3" xfId="169"/>
    <cellStyle name="Comma 2 4" xfId="198"/>
    <cellStyle name="Comma 3" xfId="34"/>
    <cellStyle name="Comma 3 2" xfId="170"/>
    <cellStyle name="Comma 3 3" xfId="171"/>
    <cellStyle name="Comma 3 4" xfId="222"/>
    <cellStyle name="Comma 3 5" xfId="187"/>
    <cellStyle name="Comma 4" xfId="164"/>
    <cellStyle name="Comma 4 2" xfId="172"/>
    <cellStyle name="Comma 4 3" xfId="189"/>
    <cellStyle name="Comma 5" xfId="173"/>
    <cellStyle name="Currency" xfId="1" builtinId="4"/>
    <cellStyle name="Currency 2" xfId="8"/>
    <cellStyle name="Currency 2 2" xfId="174"/>
    <cellStyle name="Currency 2 3" xfId="190"/>
    <cellStyle name="Currency 3" xfId="35"/>
    <cellStyle name="Currency 3 2" xfId="175"/>
    <cellStyle name="Currency 3 3" xfId="188"/>
    <cellStyle name="Currency 4" xfId="120"/>
    <cellStyle name="Currency 4 2" xfId="235"/>
    <cellStyle name="Currency 5" xfId="167"/>
    <cellStyle name="Explanatory Text 2" xfId="149"/>
    <cellStyle name="Explanatory Text 3" xfId="163"/>
    <cellStyle name="Good 2" xfId="150"/>
    <cellStyle name="Heading 1 2" xfId="151"/>
    <cellStyle name="Heading 2 2" xfId="152"/>
    <cellStyle name="Heading 3 2" xfId="153"/>
    <cellStyle name="Heading 4 2" xfId="154"/>
    <cellStyle name="Hyperlink" xfId="238" builtinId="8"/>
    <cellStyle name="Hyperlink 2" xfId="36"/>
    <cellStyle name="Hyperlink 2 2" xfId="223"/>
    <cellStyle name="Hyperlink 2 3" xfId="193"/>
    <cellStyle name="Hyperlink 3" xfId="37"/>
    <cellStyle name="Hyperlink 3 2" xfId="224"/>
    <cellStyle name="Hyperlink 3 3" xfId="192"/>
    <cellStyle name="Hyperlink 4" xfId="38"/>
    <cellStyle name="Input 2" xfId="155"/>
    <cellStyle name="Linked Cell 2" xfId="156"/>
    <cellStyle name="Neutral 2" xfId="157"/>
    <cellStyle name="Normal" xfId="0" builtinId="0"/>
    <cellStyle name="Normal 10" xfId="39"/>
    <cellStyle name="Normal 11" xfId="40"/>
    <cellStyle name="Normal 12" xfId="41"/>
    <cellStyle name="Normal 13" xfId="42"/>
    <cellStyle name="Normal 14" xfId="10"/>
    <cellStyle name="Normal 15" xfId="43"/>
    <cellStyle name="Normal 16" xfId="44"/>
    <cellStyle name="Normal 17" xfId="45"/>
    <cellStyle name="Normal 18" xfId="46"/>
    <cellStyle name="Normal 19" xfId="47"/>
    <cellStyle name="Normal 2" xfId="7"/>
    <cellStyle name="Normal 2 10" xfId="48"/>
    <cellStyle name="Normal 2 11" xfId="49"/>
    <cellStyle name="Normal 2 12" xfId="50"/>
    <cellStyle name="Normal 2 13" xfId="51"/>
    <cellStyle name="Normal 2 14" xfId="52"/>
    <cellStyle name="Normal 2 15" xfId="53"/>
    <cellStyle name="Normal 2 16" xfId="54"/>
    <cellStyle name="Normal 2 17" xfId="55"/>
    <cellStyle name="Normal 2 18" xfId="56"/>
    <cellStyle name="Normal 2 19" xfId="57"/>
    <cellStyle name="Normal 2 2" xfId="58"/>
    <cellStyle name="Normal 2 2 2" xfId="176"/>
    <cellStyle name="Normal 2 20" xfId="59"/>
    <cellStyle name="Normal 2 21" xfId="60"/>
    <cellStyle name="Normal 2 22" xfId="61"/>
    <cellStyle name="Normal 2 23" xfId="62"/>
    <cellStyle name="Normal 2 24" xfId="63"/>
    <cellStyle name="Normal 2 25" xfId="64"/>
    <cellStyle name="Normal 2 26" xfId="65"/>
    <cellStyle name="Normal 2 27" xfId="66"/>
    <cellStyle name="Normal 2 28" xfId="67"/>
    <cellStyle name="Normal 2 29" xfId="68"/>
    <cellStyle name="Normal 2 3" xfId="69"/>
    <cellStyle name="Normal 2 3 2" xfId="225"/>
    <cellStyle name="Normal 2 3 3" xfId="185"/>
    <cellStyle name="Normal 2 30" xfId="70"/>
    <cellStyle name="Normal 2 31" xfId="71"/>
    <cellStyle name="Normal 2 32" xfId="72"/>
    <cellStyle name="Normal 2 33" xfId="73"/>
    <cellStyle name="Normal 2 34" xfId="74"/>
    <cellStyle name="Normal 2 35" xfId="75"/>
    <cellStyle name="Normal 2 36" xfId="166"/>
    <cellStyle name="Normal 2 36 2" xfId="237"/>
    <cellStyle name="Normal 2 37" xfId="197"/>
    <cellStyle name="Normal 2 38" xfId="184"/>
    <cellStyle name="Normal 2 4" xfId="76"/>
    <cellStyle name="Normal 2 5" xfId="77"/>
    <cellStyle name="Normal 2 6" xfId="78"/>
    <cellStyle name="Normal 2 7" xfId="79"/>
    <cellStyle name="Normal 2 8" xfId="80"/>
    <cellStyle name="Normal 2 9" xfId="81"/>
    <cellStyle name="Normal 20" xfId="82"/>
    <cellStyle name="Normal 21" xfId="83"/>
    <cellStyle name="Normal 22" xfId="84"/>
    <cellStyle name="Normal 23" xfId="85"/>
    <cellStyle name="Normal 24" xfId="86"/>
    <cellStyle name="Normal 25" xfId="87"/>
    <cellStyle name="Normal 26" xfId="88"/>
    <cellStyle name="Normal 27" xfId="89"/>
    <cellStyle name="Normal 28" xfId="90"/>
    <cellStyle name="Normal 29" xfId="91"/>
    <cellStyle name="Normal 29 2" xfId="92"/>
    <cellStyle name="Normal 3" xfId="93"/>
    <cellStyle name="Normal 3 2" xfId="94"/>
    <cellStyle name="Normal 3 3" xfId="177"/>
    <cellStyle name="Normal 3 4" xfId="186"/>
    <cellStyle name="Normal 30" xfId="11"/>
    <cellStyle name="Normal 30 2" xfId="199"/>
    <cellStyle name="Normal 31" xfId="95"/>
    <cellStyle name="Normal 31 2" xfId="226"/>
    <cellStyle name="Normal 32" xfId="12"/>
    <cellStyle name="Normal 32 2" xfId="200"/>
    <cellStyle name="Normal 33" xfId="13"/>
    <cellStyle name="Normal 33 2" xfId="201"/>
    <cellStyle name="Normal 34" xfId="96"/>
    <cellStyle name="Normal 35" xfId="97"/>
    <cellStyle name="Normal 36" xfId="98"/>
    <cellStyle name="Normal 37" xfId="99"/>
    <cellStyle name="Normal 38" xfId="100"/>
    <cellStyle name="Normal 39" xfId="101"/>
    <cellStyle name="Normal 4" xfId="102"/>
    <cellStyle name="Normal 4 2" xfId="178"/>
    <cellStyle name="Normal 4 3" xfId="179"/>
    <cellStyle name="Normal 4 4" xfId="227"/>
    <cellStyle name="Normal 40" xfId="14"/>
    <cellStyle name="Normal 40 2" xfId="202"/>
    <cellStyle name="Normal 41" xfId="15"/>
    <cellStyle name="Normal 41 2" xfId="203"/>
    <cellStyle name="Normal 42" xfId="103"/>
    <cellStyle name="Normal 42 2" xfId="228"/>
    <cellStyle name="Normal 43" xfId="16"/>
    <cellStyle name="Normal 43 2" xfId="204"/>
    <cellStyle name="Normal 44" xfId="17"/>
    <cellStyle name="Normal 44 2" xfId="205"/>
    <cellStyle name="Normal 45" xfId="104"/>
    <cellStyle name="Normal 46" xfId="18"/>
    <cellStyle name="Normal 46 2" xfId="206"/>
    <cellStyle name="Normal 47" xfId="19"/>
    <cellStyle name="Normal 47 2" xfId="207"/>
    <cellStyle name="Normal 48" xfId="105"/>
    <cellStyle name="Normal 48 2" xfId="229"/>
    <cellStyle name="Normal 49" xfId="106"/>
    <cellStyle name="Normal 49 2" xfId="230"/>
    <cellStyle name="Normal 5" xfId="107"/>
    <cellStyle name="Normal 5 2" xfId="180"/>
    <cellStyle name="Normal 5 2 2" xfId="181"/>
    <cellStyle name="Normal 5 3" xfId="182"/>
    <cellStyle name="Normal 5 3 2" xfId="183"/>
    <cellStyle name="Normal 50" xfId="108"/>
    <cellStyle name="Normal 50 2" xfId="231"/>
    <cellStyle name="Normal 51" xfId="20"/>
    <cellStyle name="Normal 51 2" xfId="208"/>
    <cellStyle name="Normal 52" xfId="21"/>
    <cellStyle name="Normal 52 2" xfId="209"/>
    <cellStyle name="Normal 53" xfId="22"/>
    <cellStyle name="Normal 53 2" xfId="210"/>
    <cellStyle name="Normal 54" xfId="23"/>
    <cellStyle name="Normal 54 2" xfId="211"/>
    <cellStyle name="Normal 55" xfId="24"/>
    <cellStyle name="Normal 55 2" xfId="212"/>
    <cellStyle name="Normal 56" xfId="25"/>
    <cellStyle name="Normal 56 2" xfId="213"/>
    <cellStyle name="Normal 57" xfId="26"/>
    <cellStyle name="Normal 57 2" xfId="214"/>
    <cellStyle name="Normal 58" xfId="27"/>
    <cellStyle name="Normal 58 2" xfId="215"/>
    <cellStyle name="Normal 59" xfId="28"/>
    <cellStyle name="Normal 59 2" xfId="216"/>
    <cellStyle name="Normal 6" xfId="109"/>
    <cellStyle name="Normal 6 2" xfId="232"/>
    <cellStyle name="Normal 6 3" xfId="194"/>
    <cellStyle name="Normal 60" xfId="110"/>
    <cellStyle name="Normal 61" xfId="111"/>
    <cellStyle name="Normal 62" xfId="29"/>
    <cellStyle name="Normal 62 2" xfId="217"/>
    <cellStyle name="Normal 63" xfId="30"/>
    <cellStyle name="Normal 63 2" xfId="218"/>
    <cellStyle name="Normal 64" xfId="112"/>
    <cellStyle name="Normal 65" xfId="113"/>
    <cellStyle name="Normal 66" xfId="114"/>
    <cellStyle name="Normal 66 2" xfId="233"/>
    <cellStyle name="Normal 67" xfId="31"/>
    <cellStyle name="Normal 67 2" xfId="219"/>
    <cellStyle name="Normal 68" xfId="115"/>
    <cellStyle name="Normal 69" xfId="5"/>
    <cellStyle name="Normal 69 2" xfId="195"/>
    <cellStyle name="Normal 7" xfId="116"/>
    <cellStyle name="Normal 70" xfId="4"/>
    <cellStyle name="Normal 8" xfId="117"/>
    <cellStyle name="Normal 9" xfId="32"/>
    <cellStyle name="Normal 9 2" xfId="220"/>
    <cellStyle name="Note 2" xfId="158"/>
    <cellStyle name="Note 3" xfId="165"/>
    <cellStyle name="Output 2" xfId="159"/>
    <cellStyle name="Percent" xfId="3" builtinId="5"/>
    <cellStyle name="Percent 2" xfId="33"/>
    <cellStyle name="Percent 2 2" xfId="118"/>
    <cellStyle name="Percent 2 3" xfId="221"/>
    <cellStyle name="Percent 3" xfId="119"/>
    <cellStyle name="Percent 3 2" xfId="234"/>
    <cellStyle name="Percent 4" xfId="6"/>
    <cellStyle name="Percent 4 2" xfId="196"/>
    <cellStyle name="Percent 5" xfId="168"/>
    <cellStyle name="Title 2" xfId="160"/>
    <cellStyle name="Total 2" xfId="161"/>
    <cellStyle name="Warning Text 2" xfId="162"/>
  </cellStyles>
  <dxfs count="1">
    <dxf>
      <fill>
        <patternFill patternType="solid">
          <bgColor theme="0" tint="-0.14990691854609822"/>
        </patternFill>
      </fill>
    </dxf>
  </dxfs>
  <tableStyles count="1" defaultTableStyle="TableStyleMedium2" defaultPivotStyle="PivotStyleLight16">
    <tableStyle name="Table Style 2" pivot="0" count="1">
      <tableStyleElement type="firstColumnStripe" dxfId="0"/>
    </tableStyle>
  </tableStyles>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GB"/>
              <a:t>Number of patients: All scenarios</a:t>
            </a:r>
          </a:p>
        </c:rich>
      </c:tx>
      <c:layout/>
      <c:overlay val="1"/>
    </c:title>
    <c:autoTitleDeleted val="0"/>
    <c:plotArea>
      <c:layout>
        <c:manualLayout>
          <c:layoutTarget val="inner"/>
          <c:xMode val="edge"/>
          <c:yMode val="edge"/>
          <c:x val="0.12326803549069901"/>
          <c:y val="7.303443924082792E-2"/>
          <c:w val="0.6546300693886864"/>
          <c:h val="0.74354965556873054"/>
        </c:manualLayout>
      </c:layout>
      <c:barChart>
        <c:barDir val="col"/>
        <c:grouping val="clustered"/>
        <c:varyColors val="0"/>
        <c:ser>
          <c:idx val="1"/>
          <c:order val="0"/>
          <c:tx>
            <c:v>Number of patients thromboylsed</c:v>
          </c:tx>
          <c:spPr>
            <a:solidFill>
              <a:schemeClr val="accent4"/>
            </a:solidFill>
          </c:spPr>
          <c:invertIfNegative val="0"/>
          <c:cat>
            <c:strRef>
              <c:f>Costs!$N$28:$N$31</c:f>
              <c:strCache>
                <c:ptCount val="4"/>
                <c:pt idx="0">
                  <c:v>Current</c:v>
                </c:pt>
                <c:pt idx="1">
                  <c:v>Scenario 2: 20% thrombolysed</c:v>
                </c:pt>
                <c:pt idx="2">
                  <c:v>Scenario 3: 16.0% thrombolysed</c:v>
                </c:pt>
                <c:pt idx="3">
                  <c:v>Scenario 4: Setting a new level of patients thrombolysed</c:v>
                </c:pt>
              </c:strCache>
            </c:strRef>
          </c:cat>
          <c:val>
            <c:numRef>
              <c:f>(Costs!$J$28,Costs!$J$26,Costs!$J$29,Costs!$J$30)</c:f>
              <c:numCache>
                <c:formatCode>General</c:formatCode>
                <c:ptCount val="4"/>
                <c:pt idx="0">
                  <c:v>40</c:v>
                </c:pt>
                <c:pt idx="1">
                  <c:v>23</c:v>
                </c:pt>
                <c:pt idx="2">
                  <c:v>32</c:v>
                </c:pt>
                <c:pt idx="3">
                  <c:v>10</c:v>
                </c:pt>
              </c:numCache>
            </c:numRef>
          </c:val>
        </c:ser>
        <c:dLbls>
          <c:showLegendKey val="0"/>
          <c:showVal val="0"/>
          <c:showCatName val="0"/>
          <c:showSerName val="0"/>
          <c:showPercent val="0"/>
          <c:showBubbleSize val="0"/>
        </c:dLbls>
        <c:gapWidth val="150"/>
        <c:axId val="415415296"/>
        <c:axId val="417384320"/>
      </c:barChart>
      <c:catAx>
        <c:axId val="415415296"/>
        <c:scaling>
          <c:orientation val="minMax"/>
        </c:scaling>
        <c:delete val="0"/>
        <c:axPos val="b"/>
        <c:numFmt formatCode="General" sourceLinked="1"/>
        <c:majorTickMark val="out"/>
        <c:minorTickMark val="none"/>
        <c:tickLblPos val="nextTo"/>
        <c:crossAx val="417384320"/>
        <c:crosses val="autoZero"/>
        <c:auto val="1"/>
        <c:lblAlgn val="ctr"/>
        <c:lblOffset val="100"/>
        <c:noMultiLvlLbl val="0"/>
      </c:catAx>
      <c:valAx>
        <c:axId val="417384320"/>
        <c:scaling>
          <c:orientation val="minMax"/>
          <c:min val="0"/>
        </c:scaling>
        <c:delete val="0"/>
        <c:axPos val="l"/>
        <c:title>
          <c:tx>
            <c:rich>
              <a:bodyPr rot="-5400000" vert="horz"/>
              <a:lstStyle/>
              <a:p>
                <a:pPr>
                  <a:defRPr/>
                </a:pPr>
                <a:r>
                  <a:rPr lang="en-US"/>
                  <a:t>Number of patients</a:t>
                </a:r>
              </a:p>
            </c:rich>
          </c:tx>
          <c:layout/>
          <c:overlay val="0"/>
        </c:title>
        <c:numFmt formatCode="General" sourceLinked="1"/>
        <c:majorTickMark val="out"/>
        <c:minorTickMark val="none"/>
        <c:tickLblPos val="nextTo"/>
        <c:crossAx val="415415296"/>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a:pPr>
            <a:r>
              <a:rPr lang="en-GB"/>
              <a:t>1 year cost</a:t>
            </a:r>
            <a:r>
              <a:rPr lang="en-GB" baseline="0"/>
              <a:t> summary: All scenarios</a:t>
            </a:r>
            <a:endParaRPr lang="en-GB"/>
          </a:p>
        </c:rich>
      </c:tx>
      <c:layout/>
      <c:overlay val="1"/>
    </c:title>
    <c:autoTitleDeleted val="0"/>
    <c:plotArea>
      <c:layout/>
      <c:barChart>
        <c:barDir val="col"/>
        <c:grouping val="clustered"/>
        <c:varyColors val="0"/>
        <c:ser>
          <c:idx val="0"/>
          <c:order val="0"/>
          <c:tx>
            <c:v>NHS cost</c:v>
          </c:tx>
          <c:invertIfNegative val="0"/>
          <c:cat>
            <c:strRef>
              <c:f>(Costs!$C$9,Costs!$F$9,Costs!$D$9,Costs!$G$9)</c:f>
              <c:strCache>
                <c:ptCount val="4"/>
                <c:pt idx="0">
                  <c:v>Current</c:v>
                </c:pt>
                <c:pt idx="1">
                  <c:v>Scenario 2: 20% thrombolysed</c:v>
                </c:pt>
                <c:pt idx="2">
                  <c:v>Scenario 3: 16.0% thrombolysed</c:v>
                </c:pt>
                <c:pt idx="3">
                  <c:v>Scenario 4: Setting a new level of patients thrombolysed</c:v>
                </c:pt>
              </c:strCache>
            </c:strRef>
          </c:cat>
          <c:val>
            <c:numRef>
              <c:f>(Costs!$C$13,Costs!$F$13,Costs!$D$13,Costs!$G$13)</c:f>
              <c:numCache>
                <c:formatCode>_-* #,##0_-;\-* #,##0_-;_-* "-"??_-;_-@_-</c:formatCode>
                <c:ptCount val="4"/>
                <c:pt idx="0" formatCode="&quot;£&quot;#,##0">
                  <c:v>2672500</c:v>
                </c:pt>
                <c:pt idx="1">
                  <c:v>2617500</c:v>
                </c:pt>
                <c:pt idx="2" formatCode="&quot;£&quot;#,##0">
                  <c:v>2685600</c:v>
                </c:pt>
                <c:pt idx="3">
                  <c:v>2713000</c:v>
                </c:pt>
              </c:numCache>
            </c:numRef>
          </c:val>
        </c:ser>
        <c:ser>
          <c:idx val="1"/>
          <c:order val="1"/>
          <c:tx>
            <c:v>Social Care Cost</c:v>
          </c:tx>
          <c:invertIfNegative val="0"/>
          <c:cat>
            <c:strRef>
              <c:f>(Costs!$C$9,Costs!$F$9,Costs!$D$9,Costs!$G$9)</c:f>
              <c:strCache>
                <c:ptCount val="4"/>
                <c:pt idx="0">
                  <c:v>Current</c:v>
                </c:pt>
                <c:pt idx="1">
                  <c:v>Scenario 2: 20% thrombolysed</c:v>
                </c:pt>
                <c:pt idx="2">
                  <c:v>Scenario 3: 16.0% thrombolysed</c:v>
                </c:pt>
                <c:pt idx="3">
                  <c:v>Scenario 4: Setting a new level of patients thrombolysed</c:v>
                </c:pt>
              </c:strCache>
            </c:strRef>
          </c:cat>
          <c:val>
            <c:numRef>
              <c:f>(Costs!$J$13,Costs!$M$13,Costs!$K$13,Costs!$N$13)</c:f>
              <c:numCache>
                <c:formatCode>_-* #,##0_-;\-* #,##0_-;_-* "-"??_-;_-@_-</c:formatCode>
                <c:ptCount val="4"/>
                <c:pt idx="0">
                  <c:v>1778600</c:v>
                </c:pt>
                <c:pt idx="1">
                  <c:v>1727400</c:v>
                </c:pt>
                <c:pt idx="2">
                  <c:v>1751200</c:v>
                </c:pt>
                <c:pt idx="3">
                  <c:v>1816300</c:v>
                </c:pt>
              </c:numCache>
            </c:numRef>
          </c:val>
        </c:ser>
        <c:dLbls>
          <c:showLegendKey val="0"/>
          <c:showVal val="0"/>
          <c:showCatName val="0"/>
          <c:showSerName val="0"/>
          <c:showPercent val="0"/>
          <c:showBubbleSize val="0"/>
        </c:dLbls>
        <c:gapWidth val="150"/>
        <c:axId val="419545856"/>
        <c:axId val="419547392"/>
      </c:barChart>
      <c:catAx>
        <c:axId val="419545856"/>
        <c:scaling>
          <c:orientation val="minMax"/>
        </c:scaling>
        <c:delete val="0"/>
        <c:axPos val="b"/>
        <c:majorTickMark val="out"/>
        <c:minorTickMark val="none"/>
        <c:tickLblPos val="nextTo"/>
        <c:crossAx val="419547392"/>
        <c:crosses val="autoZero"/>
        <c:auto val="1"/>
        <c:lblAlgn val="ctr"/>
        <c:lblOffset val="100"/>
        <c:noMultiLvlLbl val="0"/>
      </c:catAx>
      <c:valAx>
        <c:axId val="419547392"/>
        <c:scaling>
          <c:orientation val="minMax"/>
        </c:scaling>
        <c:delete val="0"/>
        <c:axPos val="l"/>
        <c:numFmt formatCode="&quot;£&quot;#,##0" sourceLinked="1"/>
        <c:majorTickMark val="out"/>
        <c:minorTickMark val="none"/>
        <c:tickLblPos val="nextTo"/>
        <c:crossAx val="419545856"/>
        <c:crosses val="autoZero"/>
        <c:crossBetween val="between"/>
        <c:dispUnits>
          <c:builtInUnit val="thousands"/>
          <c:dispUnitsLbl>
            <c:layout>
              <c:manualLayout>
                <c:xMode val="edge"/>
                <c:yMode val="edge"/>
                <c:x val="2.1170811013307454E-2"/>
                <c:y val="0.37053298136761187"/>
              </c:manualLayout>
            </c:layout>
          </c:dispUnitsLbl>
        </c:dispUnits>
      </c:valAx>
      <c:spPr>
        <a:noFill/>
        <a:ln w="25400">
          <a:noFill/>
        </a:ln>
      </c:spPr>
    </c:plotArea>
    <c:legend>
      <c:legendPos val="r"/>
      <c:layout/>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en-GB" sz="1400"/>
              <a:t>1 year cost summary</a:t>
            </a:r>
          </a:p>
        </c:rich>
      </c:tx>
      <c:layout>
        <c:manualLayout>
          <c:xMode val="edge"/>
          <c:yMode val="edge"/>
          <c:x val="0.23127684679757204"/>
          <c:y val="0"/>
        </c:manualLayout>
      </c:layout>
      <c:overlay val="1"/>
    </c:title>
    <c:autoTitleDeleted val="0"/>
    <c:plotArea>
      <c:layout>
        <c:manualLayout>
          <c:layoutTarget val="inner"/>
          <c:xMode val="edge"/>
          <c:yMode val="edge"/>
          <c:x val="0.2203813617575992"/>
          <c:y val="8.4536968811097332E-2"/>
          <c:w val="0.46859322368614093"/>
          <c:h val="0.63022135781233424"/>
        </c:manualLayout>
      </c:layout>
      <c:barChart>
        <c:barDir val="col"/>
        <c:grouping val="clustered"/>
        <c:varyColors val="0"/>
        <c:ser>
          <c:idx val="0"/>
          <c:order val="0"/>
          <c:tx>
            <c:v>Current </c:v>
          </c:tx>
          <c:invertIfNegative val="0"/>
          <c:cat>
            <c:strRef>
              <c:f>Costs!$O$28:$O$29</c:f>
              <c:strCache>
                <c:ptCount val="2"/>
                <c:pt idx="0">
                  <c:v>NHS cost</c:v>
                </c:pt>
                <c:pt idx="1">
                  <c:v>Social care cost</c:v>
                </c:pt>
              </c:strCache>
            </c:strRef>
          </c:cat>
          <c:val>
            <c:numRef>
              <c:f>(Costs!$C$13,Costs!$J$13)</c:f>
              <c:numCache>
                <c:formatCode>_-* #,##0_-;\-* #,##0_-;_-* "-"??_-;_-@_-</c:formatCode>
                <c:ptCount val="2"/>
                <c:pt idx="0" formatCode="&quot;£&quot;#,##0">
                  <c:v>2672500</c:v>
                </c:pt>
                <c:pt idx="1">
                  <c:v>1778600</c:v>
                </c:pt>
              </c:numCache>
            </c:numRef>
          </c:val>
        </c:ser>
        <c:ser>
          <c:idx val="1"/>
          <c:order val="1"/>
          <c:tx>
            <c:strRef>
              <c:f>Costs!$F$9</c:f>
              <c:strCache>
                <c:ptCount val="1"/>
                <c:pt idx="0">
                  <c:v>Scenario 2: 20% thrombolysed</c:v>
                </c:pt>
              </c:strCache>
            </c:strRef>
          </c:tx>
          <c:invertIfNegative val="0"/>
          <c:cat>
            <c:strRef>
              <c:f>Costs!$O$28:$O$29</c:f>
              <c:strCache>
                <c:ptCount val="2"/>
                <c:pt idx="0">
                  <c:v>NHS cost</c:v>
                </c:pt>
                <c:pt idx="1">
                  <c:v>Social care cost</c:v>
                </c:pt>
              </c:strCache>
            </c:strRef>
          </c:cat>
          <c:val>
            <c:numRef>
              <c:f>(Costs!$F$13,Costs!$M$13)</c:f>
              <c:numCache>
                <c:formatCode>_-* #,##0_-;\-* #,##0_-;_-* "-"??_-;_-@_-</c:formatCode>
                <c:ptCount val="2"/>
                <c:pt idx="0">
                  <c:v>2617500</c:v>
                </c:pt>
                <c:pt idx="1">
                  <c:v>1727400</c:v>
                </c:pt>
              </c:numCache>
            </c:numRef>
          </c:val>
        </c:ser>
        <c:dLbls>
          <c:showLegendKey val="0"/>
          <c:showVal val="0"/>
          <c:showCatName val="0"/>
          <c:showSerName val="0"/>
          <c:showPercent val="0"/>
          <c:showBubbleSize val="0"/>
        </c:dLbls>
        <c:gapWidth val="150"/>
        <c:axId val="419962240"/>
        <c:axId val="419964032"/>
      </c:barChart>
      <c:catAx>
        <c:axId val="419962240"/>
        <c:scaling>
          <c:orientation val="minMax"/>
        </c:scaling>
        <c:delete val="0"/>
        <c:axPos val="b"/>
        <c:majorTickMark val="out"/>
        <c:minorTickMark val="none"/>
        <c:tickLblPos val="nextTo"/>
        <c:crossAx val="419964032"/>
        <c:crosses val="autoZero"/>
        <c:auto val="1"/>
        <c:lblAlgn val="ctr"/>
        <c:lblOffset val="100"/>
        <c:noMultiLvlLbl val="0"/>
      </c:catAx>
      <c:valAx>
        <c:axId val="419964032"/>
        <c:scaling>
          <c:orientation val="minMax"/>
        </c:scaling>
        <c:delete val="0"/>
        <c:axPos val="l"/>
        <c:title>
          <c:tx>
            <c:rich>
              <a:bodyPr rot="-5400000" vert="horz"/>
              <a:lstStyle/>
              <a:p>
                <a:pPr>
                  <a:defRPr/>
                </a:pPr>
                <a:r>
                  <a:rPr lang="en-GB"/>
                  <a:t>Thousands</a:t>
                </a:r>
              </a:p>
            </c:rich>
          </c:tx>
          <c:layout>
            <c:manualLayout>
              <c:xMode val="edge"/>
              <c:yMode val="edge"/>
              <c:x val="3.3143400843272555E-3"/>
              <c:y val="0.1875150966183575"/>
            </c:manualLayout>
          </c:layout>
          <c:overlay val="0"/>
        </c:title>
        <c:numFmt formatCode="&quot;£&quot;#,##0" sourceLinked="1"/>
        <c:majorTickMark val="out"/>
        <c:minorTickMark val="none"/>
        <c:tickLblPos val="nextTo"/>
        <c:crossAx val="419962240"/>
        <c:crosses val="autoZero"/>
        <c:crossBetween val="between"/>
        <c:dispUnits>
          <c:builtInUnit val="thousands"/>
          <c:dispUnitsLbl>
            <c:layout/>
            <c:tx>
              <c:rich>
                <a:bodyPr/>
                <a:lstStyle/>
                <a:p>
                  <a:pPr>
                    <a:defRPr/>
                  </a:pPr>
                  <a:endParaRPr lang="en-GB"/>
                </a:p>
                <a:p>
                  <a:pPr>
                    <a:defRPr/>
                  </a:pPr>
                  <a:endParaRPr lang="en-GB"/>
                </a:p>
              </c:rich>
            </c:tx>
          </c:dispUnitsLbl>
        </c:dispUnits>
      </c:valAx>
      <c:spPr>
        <a:noFill/>
        <a:ln w="25400">
          <a:noFill/>
        </a:ln>
      </c:spPr>
    </c:plotArea>
    <c:legend>
      <c:legendPos val="r"/>
      <c:layout>
        <c:manualLayout>
          <c:xMode val="edge"/>
          <c:yMode val="edge"/>
          <c:x val="0.64318242585429231"/>
          <c:y val="0.18525613929146537"/>
          <c:w val="0.33169544996131128"/>
          <c:h val="0.54001509661835745"/>
        </c:manualLayout>
      </c:layout>
      <c:overlay val="0"/>
    </c:legend>
    <c:plotVisOnly val="1"/>
    <c:dispBlanksAs val="gap"/>
    <c:showDLblsOverMax val="0"/>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GB" sz="1400"/>
              <a:t>Number</a:t>
            </a:r>
            <a:r>
              <a:rPr lang="en-GB" sz="1400" baseline="0"/>
              <a:t> of patients</a:t>
            </a:r>
            <a:endParaRPr lang="en-GB" sz="1400"/>
          </a:p>
        </c:rich>
      </c:tx>
      <c:layout>
        <c:manualLayout>
          <c:xMode val="edge"/>
          <c:yMode val="edge"/>
          <c:x val="0.25607146076869913"/>
          <c:y val="6.5923718471462556E-3"/>
        </c:manualLayout>
      </c:layout>
      <c:overlay val="1"/>
    </c:title>
    <c:autoTitleDeleted val="0"/>
    <c:plotArea>
      <c:layout>
        <c:manualLayout>
          <c:layoutTarget val="inner"/>
          <c:xMode val="edge"/>
          <c:yMode val="edge"/>
          <c:x val="0.11825581685373776"/>
          <c:y val="7.0955112721417066E-2"/>
          <c:w val="0.52866558624107152"/>
          <c:h val="0.61293981481481485"/>
        </c:manualLayout>
      </c:layout>
      <c:barChart>
        <c:barDir val="col"/>
        <c:grouping val="clustered"/>
        <c:varyColors val="0"/>
        <c:ser>
          <c:idx val="0"/>
          <c:order val="0"/>
          <c:tx>
            <c:strRef>
              <c:f>Costs!$I$26</c:f>
              <c:strCache>
                <c:ptCount val="1"/>
                <c:pt idx="0">
                  <c:v>Number of patients thrombolysed</c:v>
                </c:pt>
              </c:strCache>
            </c:strRef>
          </c:tx>
          <c:invertIfNegative val="0"/>
          <c:cat>
            <c:strRef>
              <c:f>(Costs!$C$9,Costs!$F$9)</c:f>
              <c:strCache>
                <c:ptCount val="2"/>
                <c:pt idx="0">
                  <c:v>Current</c:v>
                </c:pt>
                <c:pt idx="1">
                  <c:v>Scenario 2: 20% thrombolysed</c:v>
                </c:pt>
              </c:strCache>
            </c:strRef>
          </c:cat>
          <c:val>
            <c:numRef>
              <c:f>(Costs!$J$26,Costs!$J$28)</c:f>
              <c:numCache>
                <c:formatCode>General</c:formatCode>
                <c:ptCount val="2"/>
                <c:pt idx="0">
                  <c:v>23</c:v>
                </c:pt>
                <c:pt idx="1">
                  <c:v>40</c:v>
                </c:pt>
              </c:numCache>
            </c:numRef>
          </c:val>
        </c:ser>
        <c:dLbls>
          <c:showLegendKey val="0"/>
          <c:showVal val="0"/>
          <c:showCatName val="0"/>
          <c:showSerName val="0"/>
          <c:showPercent val="0"/>
          <c:showBubbleSize val="0"/>
        </c:dLbls>
        <c:gapWidth val="150"/>
        <c:axId val="420034432"/>
        <c:axId val="420035968"/>
      </c:barChart>
      <c:catAx>
        <c:axId val="420034432"/>
        <c:scaling>
          <c:orientation val="minMax"/>
        </c:scaling>
        <c:delete val="0"/>
        <c:axPos val="b"/>
        <c:majorTickMark val="out"/>
        <c:minorTickMark val="none"/>
        <c:tickLblPos val="nextTo"/>
        <c:crossAx val="420035968"/>
        <c:crosses val="autoZero"/>
        <c:auto val="1"/>
        <c:lblAlgn val="ctr"/>
        <c:lblOffset val="100"/>
        <c:noMultiLvlLbl val="0"/>
      </c:catAx>
      <c:valAx>
        <c:axId val="420035968"/>
        <c:scaling>
          <c:orientation val="minMax"/>
          <c:min val="0"/>
        </c:scaling>
        <c:delete val="0"/>
        <c:axPos val="l"/>
        <c:numFmt formatCode="General" sourceLinked="1"/>
        <c:majorTickMark val="out"/>
        <c:minorTickMark val="none"/>
        <c:tickLblPos val="nextTo"/>
        <c:crossAx val="420034432"/>
        <c:crosses val="autoZero"/>
        <c:crossBetween val="between"/>
      </c:valAx>
    </c:plotArea>
    <c:plotVisOnly val="1"/>
    <c:dispBlanksAs val="gap"/>
    <c:showDLblsOverMax val="0"/>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en-GB" sz="1400" b="1" i="0" baseline="0">
                <a:effectLst/>
              </a:rPr>
              <a:t>1 year cost summary</a:t>
            </a:r>
            <a:endParaRPr lang="en-GB" sz="1400">
              <a:effectLst/>
            </a:endParaRPr>
          </a:p>
        </c:rich>
      </c:tx>
      <c:layout/>
      <c:overlay val="1"/>
    </c:title>
    <c:autoTitleDeleted val="0"/>
    <c:plotArea>
      <c:layout>
        <c:manualLayout>
          <c:layoutTarget val="inner"/>
          <c:xMode val="edge"/>
          <c:yMode val="edge"/>
          <c:x val="0.22411833058159439"/>
          <c:y val="8.4536744190331803E-2"/>
          <c:w val="0.4853412940647005"/>
          <c:h val="0.63022135781233424"/>
        </c:manualLayout>
      </c:layout>
      <c:barChart>
        <c:barDir val="col"/>
        <c:grouping val="clustered"/>
        <c:varyColors val="0"/>
        <c:ser>
          <c:idx val="0"/>
          <c:order val="0"/>
          <c:tx>
            <c:v>Current </c:v>
          </c:tx>
          <c:invertIfNegative val="0"/>
          <c:cat>
            <c:strRef>
              <c:f>Costs!$O$28:$O$29</c:f>
              <c:strCache>
                <c:ptCount val="2"/>
                <c:pt idx="0">
                  <c:v>NHS cost</c:v>
                </c:pt>
                <c:pt idx="1">
                  <c:v>Social care cost</c:v>
                </c:pt>
              </c:strCache>
            </c:strRef>
          </c:cat>
          <c:val>
            <c:numRef>
              <c:f>(Costs!$C$13,Costs!$J$13)</c:f>
              <c:numCache>
                <c:formatCode>_-* #,##0_-;\-* #,##0_-;_-* "-"??_-;_-@_-</c:formatCode>
                <c:ptCount val="2"/>
                <c:pt idx="0" formatCode="&quot;£&quot;#,##0">
                  <c:v>2672500</c:v>
                </c:pt>
                <c:pt idx="1">
                  <c:v>1778600</c:v>
                </c:pt>
              </c:numCache>
            </c:numRef>
          </c:val>
        </c:ser>
        <c:ser>
          <c:idx val="1"/>
          <c:order val="1"/>
          <c:tx>
            <c:strRef>
              <c:f>Costs!$D$9</c:f>
              <c:strCache>
                <c:ptCount val="1"/>
                <c:pt idx="0">
                  <c:v>Scenario 3: 16.0% thrombolysed</c:v>
                </c:pt>
              </c:strCache>
            </c:strRef>
          </c:tx>
          <c:invertIfNegative val="0"/>
          <c:cat>
            <c:strRef>
              <c:f>Costs!$O$28:$O$29</c:f>
              <c:strCache>
                <c:ptCount val="2"/>
                <c:pt idx="0">
                  <c:v>NHS cost</c:v>
                </c:pt>
                <c:pt idx="1">
                  <c:v>Social care cost</c:v>
                </c:pt>
              </c:strCache>
            </c:strRef>
          </c:cat>
          <c:val>
            <c:numRef>
              <c:f>(Costs!$D$13,Costs!$K$13)</c:f>
              <c:numCache>
                <c:formatCode>_-* #,##0_-;\-* #,##0_-;_-* "-"??_-;_-@_-</c:formatCode>
                <c:ptCount val="2"/>
                <c:pt idx="0" formatCode="&quot;£&quot;#,##0">
                  <c:v>2685600</c:v>
                </c:pt>
                <c:pt idx="1">
                  <c:v>1751200</c:v>
                </c:pt>
              </c:numCache>
            </c:numRef>
          </c:val>
        </c:ser>
        <c:dLbls>
          <c:showLegendKey val="0"/>
          <c:showVal val="0"/>
          <c:showCatName val="0"/>
          <c:showSerName val="0"/>
          <c:showPercent val="0"/>
          <c:showBubbleSize val="0"/>
        </c:dLbls>
        <c:gapWidth val="150"/>
        <c:axId val="420065280"/>
        <c:axId val="420066816"/>
      </c:barChart>
      <c:catAx>
        <c:axId val="420065280"/>
        <c:scaling>
          <c:orientation val="minMax"/>
        </c:scaling>
        <c:delete val="0"/>
        <c:axPos val="b"/>
        <c:majorTickMark val="out"/>
        <c:minorTickMark val="none"/>
        <c:tickLblPos val="nextTo"/>
        <c:crossAx val="420066816"/>
        <c:crosses val="autoZero"/>
        <c:auto val="1"/>
        <c:lblAlgn val="ctr"/>
        <c:lblOffset val="100"/>
        <c:noMultiLvlLbl val="0"/>
      </c:catAx>
      <c:valAx>
        <c:axId val="420066816"/>
        <c:scaling>
          <c:orientation val="minMax"/>
        </c:scaling>
        <c:delete val="0"/>
        <c:axPos val="l"/>
        <c:title>
          <c:tx>
            <c:rich>
              <a:bodyPr rot="-5400000" vert="horz"/>
              <a:lstStyle/>
              <a:p>
                <a:pPr>
                  <a:defRPr/>
                </a:pPr>
                <a:r>
                  <a:rPr lang="en-GB"/>
                  <a:t>Thousands</a:t>
                </a:r>
              </a:p>
            </c:rich>
          </c:tx>
          <c:layout>
            <c:manualLayout>
              <c:xMode val="edge"/>
              <c:yMode val="edge"/>
              <c:x val="3.4943536123267574E-3"/>
              <c:y val="0.18751526745047553"/>
            </c:manualLayout>
          </c:layout>
          <c:overlay val="0"/>
        </c:title>
        <c:numFmt formatCode="&quot;£&quot;#,##0" sourceLinked="1"/>
        <c:majorTickMark val="out"/>
        <c:minorTickMark val="none"/>
        <c:tickLblPos val="nextTo"/>
        <c:crossAx val="420065280"/>
        <c:crosses val="autoZero"/>
        <c:crossBetween val="between"/>
        <c:dispUnits>
          <c:builtInUnit val="thousands"/>
          <c:dispUnitsLbl>
            <c:layout/>
            <c:tx>
              <c:rich>
                <a:bodyPr/>
                <a:lstStyle/>
                <a:p>
                  <a:pPr>
                    <a:defRPr/>
                  </a:pPr>
                  <a:endParaRPr lang="en-GB"/>
                </a:p>
                <a:p>
                  <a:pPr>
                    <a:defRPr/>
                  </a:pPr>
                  <a:endParaRPr lang="en-GB"/>
                </a:p>
              </c:rich>
            </c:tx>
          </c:dispUnitsLbl>
        </c:dispUnits>
      </c:valAx>
      <c:spPr>
        <a:noFill/>
        <a:ln w="25400">
          <a:noFill/>
        </a:ln>
      </c:spPr>
    </c:plotArea>
    <c:legend>
      <c:legendPos val="r"/>
      <c:layout>
        <c:manualLayout>
          <c:xMode val="edge"/>
          <c:yMode val="edge"/>
          <c:x val="0.65497871192809476"/>
          <c:y val="0.18698037153608307"/>
          <c:w val="0.3450214393065304"/>
          <c:h val="0.54927948904709722"/>
        </c:manualLayout>
      </c:layout>
      <c:overlay val="0"/>
    </c:legend>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GB" sz="1400" b="1" i="0" baseline="0">
                <a:effectLst/>
              </a:rPr>
              <a:t>Number of patients</a:t>
            </a:r>
            <a:endParaRPr lang="en-GB" sz="1400">
              <a:effectLst/>
            </a:endParaRPr>
          </a:p>
        </c:rich>
      </c:tx>
      <c:layout>
        <c:manualLayout>
          <c:xMode val="edge"/>
          <c:yMode val="edge"/>
          <c:x val="0.25686352229361947"/>
          <c:y val="6.4854883368450295E-3"/>
        </c:manualLayout>
      </c:layout>
      <c:overlay val="1"/>
    </c:title>
    <c:autoTitleDeleted val="0"/>
    <c:plotArea>
      <c:layout>
        <c:manualLayout>
          <c:layoutTarget val="inner"/>
          <c:xMode val="edge"/>
          <c:yMode val="edge"/>
          <c:x val="0.11825581685373776"/>
          <c:y val="7.2005261926915184E-2"/>
          <c:w val="0.54011493220093998"/>
          <c:h val="0.52805560974314403"/>
        </c:manualLayout>
      </c:layout>
      <c:barChart>
        <c:barDir val="col"/>
        <c:grouping val="clustered"/>
        <c:varyColors val="0"/>
        <c:ser>
          <c:idx val="0"/>
          <c:order val="0"/>
          <c:tx>
            <c:strRef>
              <c:f>Costs!$I$26</c:f>
              <c:strCache>
                <c:ptCount val="1"/>
                <c:pt idx="0">
                  <c:v>Number of patients thrombolysed</c:v>
                </c:pt>
              </c:strCache>
            </c:strRef>
          </c:tx>
          <c:invertIfNegative val="0"/>
          <c:cat>
            <c:strRef>
              <c:f>(Costs!$C$9,Costs!$D$9)</c:f>
              <c:strCache>
                <c:ptCount val="2"/>
                <c:pt idx="0">
                  <c:v>Current</c:v>
                </c:pt>
                <c:pt idx="1">
                  <c:v>Scenario 3: 16.0% thrombolysed</c:v>
                </c:pt>
              </c:strCache>
            </c:strRef>
          </c:cat>
          <c:val>
            <c:numRef>
              <c:f>(Costs!$J$26,Costs!$J$29)</c:f>
              <c:numCache>
                <c:formatCode>General</c:formatCode>
                <c:ptCount val="2"/>
                <c:pt idx="0">
                  <c:v>23</c:v>
                </c:pt>
                <c:pt idx="1">
                  <c:v>32</c:v>
                </c:pt>
              </c:numCache>
            </c:numRef>
          </c:val>
        </c:ser>
        <c:dLbls>
          <c:showLegendKey val="0"/>
          <c:showVal val="0"/>
          <c:showCatName val="0"/>
          <c:showSerName val="0"/>
          <c:showPercent val="0"/>
          <c:showBubbleSize val="0"/>
        </c:dLbls>
        <c:gapWidth val="150"/>
        <c:axId val="420092160"/>
        <c:axId val="420093952"/>
      </c:barChart>
      <c:catAx>
        <c:axId val="420092160"/>
        <c:scaling>
          <c:orientation val="minMax"/>
        </c:scaling>
        <c:delete val="0"/>
        <c:axPos val="b"/>
        <c:majorTickMark val="out"/>
        <c:minorTickMark val="none"/>
        <c:tickLblPos val="nextTo"/>
        <c:crossAx val="420093952"/>
        <c:crosses val="autoZero"/>
        <c:auto val="1"/>
        <c:lblAlgn val="ctr"/>
        <c:lblOffset val="100"/>
        <c:noMultiLvlLbl val="0"/>
      </c:catAx>
      <c:valAx>
        <c:axId val="420093952"/>
        <c:scaling>
          <c:orientation val="minMax"/>
          <c:min val="0"/>
        </c:scaling>
        <c:delete val="0"/>
        <c:axPos val="l"/>
        <c:numFmt formatCode="General" sourceLinked="1"/>
        <c:majorTickMark val="out"/>
        <c:minorTickMark val="none"/>
        <c:tickLblPos val="nextTo"/>
        <c:crossAx val="420092160"/>
        <c:crosses val="autoZero"/>
        <c:crossBetween val="between"/>
      </c:valAx>
    </c:plotArea>
    <c:plotVisOnly val="1"/>
    <c:dispBlanksAs val="gap"/>
    <c:showDLblsOverMax val="0"/>
  </c:chart>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35"/>
    </mc:Choice>
    <mc:Fallback>
      <c:style val="35"/>
    </mc:Fallback>
  </mc:AlternateContent>
  <c:chart>
    <c:title>
      <c:tx>
        <c:rich>
          <a:bodyPr/>
          <a:lstStyle/>
          <a:p>
            <a:pPr>
              <a:defRPr/>
            </a:pPr>
            <a:r>
              <a:rPr lang="en-GB" sz="1400" b="1" i="0" baseline="0">
                <a:effectLst/>
              </a:rPr>
              <a:t>1 year cost summary</a:t>
            </a:r>
            <a:endParaRPr lang="en-GB" sz="1400">
              <a:effectLst/>
            </a:endParaRPr>
          </a:p>
        </c:rich>
      </c:tx>
      <c:layout/>
      <c:overlay val="1"/>
    </c:title>
    <c:autoTitleDeleted val="0"/>
    <c:plotArea>
      <c:layout>
        <c:manualLayout>
          <c:layoutTarget val="inner"/>
          <c:xMode val="edge"/>
          <c:yMode val="edge"/>
          <c:x val="0.22437305626375434"/>
          <c:y val="8.4536968811097332E-2"/>
          <c:w val="0.46460170921411814"/>
          <c:h val="0.63022135781233424"/>
        </c:manualLayout>
      </c:layout>
      <c:barChart>
        <c:barDir val="col"/>
        <c:grouping val="clustered"/>
        <c:varyColors val="0"/>
        <c:ser>
          <c:idx val="0"/>
          <c:order val="0"/>
          <c:tx>
            <c:v>Current </c:v>
          </c:tx>
          <c:invertIfNegative val="0"/>
          <c:cat>
            <c:strRef>
              <c:f>Costs!$O$28:$O$29</c:f>
              <c:strCache>
                <c:ptCount val="2"/>
                <c:pt idx="0">
                  <c:v>NHS cost</c:v>
                </c:pt>
                <c:pt idx="1">
                  <c:v>Social care cost</c:v>
                </c:pt>
              </c:strCache>
            </c:strRef>
          </c:cat>
          <c:val>
            <c:numRef>
              <c:f>(Costs!$C$13,Costs!$J$13)</c:f>
              <c:numCache>
                <c:formatCode>_-* #,##0_-;\-* #,##0_-;_-* "-"??_-;_-@_-</c:formatCode>
                <c:ptCount val="2"/>
                <c:pt idx="0" formatCode="&quot;£&quot;#,##0">
                  <c:v>2672500</c:v>
                </c:pt>
                <c:pt idx="1">
                  <c:v>1778600</c:v>
                </c:pt>
              </c:numCache>
            </c:numRef>
          </c:val>
        </c:ser>
        <c:ser>
          <c:idx val="1"/>
          <c:order val="1"/>
          <c:tx>
            <c:strRef>
              <c:f>Costs!$G$9</c:f>
              <c:strCache>
                <c:ptCount val="1"/>
                <c:pt idx="0">
                  <c:v>Scenario 4: Setting a new level of patients thrombolysed</c:v>
                </c:pt>
              </c:strCache>
            </c:strRef>
          </c:tx>
          <c:invertIfNegative val="0"/>
          <c:cat>
            <c:strRef>
              <c:f>Costs!$O$28:$O$29</c:f>
              <c:strCache>
                <c:ptCount val="2"/>
                <c:pt idx="0">
                  <c:v>NHS cost</c:v>
                </c:pt>
                <c:pt idx="1">
                  <c:v>Social care cost</c:v>
                </c:pt>
              </c:strCache>
            </c:strRef>
          </c:cat>
          <c:val>
            <c:numRef>
              <c:f>(Costs!$G$13,Costs!$N$13)</c:f>
              <c:numCache>
                <c:formatCode>_-* #,##0_-;\-* #,##0_-;_-* "-"??_-;_-@_-</c:formatCode>
                <c:ptCount val="2"/>
                <c:pt idx="0">
                  <c:v>2713000</c:v>
                </c:pt>
                <c:pt idx="1">
                  <c:v>1816300</c:v>
                </c:pt>
              </c:numCache>
            </c:numRef>
          </c:val>
        </c:ser>
        <c:dLbls>
          <c:showLegendKey val="0"/>
          <c:showVal val="0"/>
          <c:showCatName val="0"/>
          <c:showSerName val="0"/>
          <c:showPercent val="0"/>
          <c:showBubbleSize val="0"/>
        </c:dLbls>
        <c:gapWidth val="150"/>
        <c:axId val="420118912"/>
        <c:axId val="420120448"/>
      </c:barChart>
      <c:catAx>
        <c:axId val="420118912"/>
        <c:scaling>
          <c:orientation val="minMax"/>
        </c:scaling>
        <c:delete val="0"/>
        <c:axPos val="b"/>
        <c:majorTickMark val="out"/>
        <c:minorTickMark val="none"/>
        <c:tickLblPos val="nextTo"/>
        <c:crossAx val="420120448"/>
        <c:crosses val="autoZero"/>
        <c:auto val="1"/>
        <c:lblAlgn val="ctr"/>
        <c:lblOffset val="100"/>
        <c:noMultiLvlLbl val="0"/>
      </c:catAx>
      <c:valAx>
        <c:axId val="420120448"/>
        <c:scaling>
          <c:orientation val="minMax"/>
        </c:scaling>
        <c:delete val="0"/>
        <c:axPos val="l"/>
        <c:title>
          <c:tx>
            <c:rich>
              <a:bodyPr rot="-5400000" vert="horz"/>
              <a:lstStyle/>
              <a:p>
                <a:pPr>
                  <a:defRPr/>
                </a:pPr>
                <a:r>
                  <a:rPr lang="en-GB"/>
                  <a:t>Thousands</a:t>
                </a:r>
              </a:p>
            </c:rich>
          </c:tx>
          <c:layout>
            <c:manualLayout>
              <c:xMode val="edge"/>
              <c:yMode val="edge"/>
              <c:x val="3.392495422564422E-3"/>
              <c:y val="0.1875150966183575"/>
            </c:manualLayout>
          </c:layout>
          <c:overlay val="0"/>
        </c:title>
        <c:numFmt formatCode="&quot;£&quot;#,##0" sourceLinked="1"/>
        <c:majorTickMark val="out"/>
        <c:minorTickMark val="none"/>
        <c:tickLblPos val="nextTo"/>
        <c:crossAx val="420118912"/>
        <c:crosses val="autoZero"/>
        <c:crossBetween val="between"/>
        <c:dispUnits>
          <c:builtInUnit val="thousands"/>
          <c:dispUnitsLbl>
            <c:layout/>
            <c:tx>
              <c:rich>
                <a:bodyPr/>
                <a:lstStyle/>
                <a:p>
                  <a:pPr>
                    <a:defRPr/>
                  </a:pPr>
                  <a:endParaRPr lang="en-GB"/>
                </a:p>
                <a:p>
                  <a:pPr>
                    <a:defRPr/>
                  </a:pPr>
                  <a:endParaRPr lang="en-GB"/>
                </a:p>
              </c:rich>
            </c:tx>
          </c:dispUnitsLbl>
        </c:dispUnits>
      </c:valAx>
      <c:spPr>
        <a:noFill/>
        <a:ln w="25400">
          <a:noFill/>
        </a:ln>
      </c:spPr>
    </c:plotArea>
    <c:legend>
      <c:legendPos val="r"/>
      <c:layout>
        <c:manualLayout>
          <c:xMode val="edge"/>
          <c:yMode val="edge"/>
          <c:x val="0.65497861032779203"/>
          <c:y val="0.19168619958526525"/>
          <c:w val="0.3450214393065304"/>
          <c:h val="0.61593839558237606"/>
        </c:manualLayout>
      </c:layout>
      <c:overlay val="0"/>
    </c:legend>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6"/>
    </mc:Choice>
    <mc:Fallback>
      <c:style val="6"/>
    </mc:Fallback>
  </mc:AlternateContent>
  <c:chart>
    <c:title>
      <c:tx>
        <c:rich>
          <a:bodyPr/>
          <a:lstStyle/>
          <a:p>
            <a:pPr>
              <a:defRPr/>
            </a:pPr>
            <a:r>
              <a:rPr lang="en-GB" sz="1400" b="1" i="0" baseline="0">
                <a:effectLst/>
              </a:rPr>
              <a:t>Number of patients</a:t>
            </a:r>
            <a:endParaRPr lang="en-GB" sz="1400">
              <a:effectLst/>
            </a:endParaRPr>
          </a:p>
        </c:rich>
      </c:tx>
      <c:layout>
        <c:manualLayout>
          <c:xMode val="edge"/>
          <c:yMode val="edge"/>
          <c:x val="0.26067997094690898"/>
          <c:y val="1.2781797110609344E-2"/>
        </c:manualLayout>
      </c:layout>
      <c:overlay val="1"/>
    </c:title>
    <c:autoTitleDeleted val="0"/>
    <c:plotArea>
      <c:layout>
        <c:manualLayout>
          <c:layoutTarget val="inner"/>
          <c:xMode val="edge"/>
          <c:yMode val="edge"/>
          <c:x val="0.11825581685373776"/>
          <c:y val="7.0955112721417066E-2"/>
          <c:w val="0.55156427816080833"/>
          <c:h val="0.53493860708534624"/>
        </c:manualLayout>
      </c:layout>
      <c:barChart>
        <c:barDir val="col"/>
        <c:grouping val="clustered"/>
        <c:varyColors val="0"/>
        <c:ser>
          <c:idx val="0"/>
          <c:order val="0"/>
          <c:tx>
            <c:strRef>
              <c:f>Costs!$I$26</c:f>
              <c:strCache>
                <c:ptCount val="1"/>
                <c:pt idx="0">
                  <c:v>Number of patients thrombolysed</c:v>
                </c:pt>
              </c:strCache>
            </c:strRef>
          </c:tx>
          <c:invertIfNegative val="0"/>
          <c:cat>
            <c:strRef>
              <c:f>(Costs!$C$9,Costs!$G$9)</c:f>
              <c:strCache>
                <c:ptCount val="2"/>
                <c:pt idx="0">
                  <c:v>Current</c:v>
                </c:pt>
                <c:pt idx="1">
                  <c:v>Scenario 4: Setting a new level of patients thrombolysed</c:v>
                </c:pt>
              </c:strCache>
            </c:strRef>
          </c:cat>
          <c:val>
            <c:numRef>
              <c:f>(Costs!$J$26,Costs!$J$30)</c:f>
              <c:numCache>
                <c:formatCode>General</c:formatCode>
                <c:ptCount val="2"/>
                <c:pt idx="0">
                  <c:v>23</c:v>
                </c:pt>
                <c:pt idx="1">
                  <c:v>10</c:v>
                </c:pt>
              </c:numCache>
            </c:numRef>
          </c:val>
        </c:ser>
        <c:dLbls>
          <c:showLegendKey val="0"/>
          <c:showVal val="0"/>
          <c:showCatName val="0"/>
          <c:showSerName val="0"/>
          <c:showPercent val="0"/>
          <c:showBubbleSize val="0"/>
        </c:dLbls>
        <c:gapWidth val="150"/>
        <c:axId val="420137600"/>
        <c:axId val="420143488"/>
      </c:barChart>
      <c:catAx>
        <c:axId val="420137600"/>
        <c:scaling>
          <c:orientation val="minMax"/>
        </c:scaling>
        <c:delete val="0"/>
        <c:axPos val="b"/>
        <c:majorTickMark val="out"/>
        <c:minorTickMark val="none"/>
        <c:tickLblPos val="nextTo"/>
        <c:crossAx val="420143488"/>
        <c:crosses val="autoZero"/>
        <c:auto val="1"/>
        <c:lblAlgn val="ctr"/>
        <c:lblOffset val="100"/>
        <c:noMultiLvlLbl val="0"/>
      </c:catAx>
      <c:valAx>
        <c:axId val="420143488"/>
        <c:scaling>
          <c:orientation val="minMax"/>
          <c:min val="0"/>
        </c:scaling>
        <c:delete val="0"/>
        <c:axPos val="l"/>
        <c:numFmt formatCode="General" sourceLinked="1"/>
        <c:majorTickMark val="out"/>
        <c:minorTickMark val="none"/>
        <c:tickLblPos val="nextTo"/>
        <c:crossAx val="420137600"/>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7</xdr:col>
      <xdr:colOff>613832</xdr:colOff>
      <xdr:row>42</xdr:row>
      <xdr:rowOff>52611</xdr:rowOff>
    </xdr:from>
    <xdr:to>
      <xdr:col>13</xdr:col>
      <xdr:colOff>391583</xdr:colOff>
      <xdr:row>63</xdr:row>
      <xdr:rowOff>107661</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179916</xdr:colOff>
      <xdr:row>0</xdr:row>
      <xdr:rowOff>571499</xdr:rowOff>
    </xdr:from>
    <xdr:to>
      <xdr:col>12</xdr:col>
      <xdr:colOff>190501</xdr:colOff>
      <xdr:row>12</xdr:row>
      <xdr:rowOff>666750</xdr:rowOff>
    </xdr:to>
    <xdr:sp macro="" textlink="">
      <xdr:nvSpPr>
        <xdr:cNvPr id="4" name="TextBox 3"/>
        <xdr:cNvSpPr txBox="1"/>
      </xdr:nvSpPr>
      <xdr:spPr>
        <a:xfrm>
          <a:off x="5566833" y="571499"/>
          <a:ext cx="6709835" cy="412750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000" b="1" baseline="0"/>
            <a:t>Instructions on how to use the tool</a:t>
          </a:r>
        </a:p>
        <a:p>
          <a:r>
            <a:rPr lang="en-GB" sz="1100">
              <a:solidFill>
                <a:sysClr val="windowText" lastClr="000000"/>
              </a:solidFill>
            </a:rPr>
            <a:t>The tool has been pre-populated</a:t>
          </a:r>
          <a:r>
            <a:rPr lang="en-GB" sz="1100" baseline="0">
              <a:solidFill>
                <a:sysClr val="windowText" lastClr="000000"/>
              </a:solidFill>
            </a:rPr>
            <a:t> with the values for an </a:t>
          </a:r>
          <a:r>
            <a:rPr lang="en-GB" sz="1100" b="1" baseline="0">
              <a:solidFill>
                <a:sysClr val="windowText" lastClr="000000"/>
              </a:solidFill>
            </a:rPr>
            <a:t>average</a:t>
          </a:r>
          <a:r>
            <a:rPr lang="en-GB" sz="1100" baseline="0">
              <a:solidFill>
                <a:sysClr val="windowText" lastClr="000000"/>
              </a:solidFill>
            </a:rPr>
            <a:t> team. To calculate the </a:t>
          </a:r>
          <a:r>
            <a:rPr lang="en-GB" sz="1100" baseline="0">
              <a:solidFill>
                <a:sysClr val="windowText" lastClr="000000"/>
              </a:solidFill>
              <a:effectLst/>
              <a:latin typeface="+mn-lt"/>
              <a:ea typeface="+mn-ea"/>
              <a:cs typeface="+mn-cs"/>
            </a:rPr>
            <a:t>NHS 1 year cost and social care  1 year cost for </a:t>
          </a:r>
          <a:r>
            <a:rPr lang="en-GB" sz="1100" b="1" baseline="0">
              <a:solidFill>
                <a:sysClr val="windowText" lastClr="000000"/>
              </a:solidFill>
            </a:rPr>
            <a:t>your</a:t>
          </a:r>
          <a:r>
            <a:rPr lang="en-GB" sz="1100" baseline="0">
              <a:solidFill>
                <a:sysClr val="windowText" lastClr="000000"/>
              </a:solidFill>
            </a:rPr>
            <a:t> hospital, u</a:t>
          </a:r>
          <a:r>
            <a:rPr lang="en-GB" sz="1100">
              <a:solidFill>
                <a:sysClr val="windowText" lastClr="000000"/>
              </a:solidFill>
            </a:rPr>
            <a:t>se</a:t>
          </a:r>
          <a:r>
            <a:rPr lang="en-GB" sz="1100" baseline="0">
              <a:solidFill>
                <a:sysClr val="windowText" lastClr="000000"/>
              </a:solidFill>
            </a:rPr>
            <a:t> </a:t>
          </a:r>
          <a:r>
            <a:rPr lang="en-GB" sz="1100">
              <a:solidFill>
                <a:sysClr val="windowText" lastClr="000000"/>
              </a:solidFill>
            </a:rPr>
            <a:t>your SSNAP team results portfolio to fill out the information in the Data</a:t>
          </a:r>
          <a:r>
            <a:rPr lang="en-GB" sz="1100" baseline="0">
              <a:solidFill>
                <a:sysClr val="windowText" lastClr="000000"/>
              </a:solidFill>
            </a:rPr>
            <a:t> Box to the left. </a:t>
          </a:r>
          <a:r>
            <a:rPr lang="en-GB" sz="1100">
              <a:solidFill>
                <a:sysClr val="windowText" lastClr="000000"/>
              </a:solidFill>
            </a:rPr>
            <a:t>Each reference refers to</a:t>
          </a:r>
          <a:r>
            <a:rPr lang="en-GB" sz="1100" baseline="0">
              <a:solidFill>
                <a:sysClr val="windowText" lastClr="000000"/>
              </a:solidFill>
            </a:rPr>
            <a:t> an item in the results portfolio with the letter being the tab and the number being the data item. For example, for F1.1 go to tab F of the results portfolio and then data item 1.1.</a:t>
          </a:r>
          <a:r>
            <a:rPr lang="en-GB" sz="1100">
              <a:solidFill>
                <a:sysClr val="windowText" lastClr="000000"/>
              </a:solidFill>
            </a:rPr>
            <a:t> The</a:t>
          </a:r>
          <a:r>
            <a:rPr lang="en-GB" sz="1100" baseline="0">
              <a:solidFill>
                <a:sysClr val="windowText" lastClr="000000"/>
              </a:solidFill>
            </a:rPr>
            <a:t> portfolio can be downloaded from https://www.strokeaudit.org/results/Clinical-audit/National-Results.aspx. This tool can also be used by CCGs/LHBs using information in the CCG/LHB portfolio. </a:t>
          </a:r>
        </a:p>
        <a:p>
          <a:endParaRPr lang="en-GB" sz="1100" baseline="0">
            <a:solidFill>
              <a:sysClr val="windowText" lastClr="000000"/>
            </a:solidFill>
          </a:endParaRPr>
        </a:p>
        <a:p>
          <a:r>
            <a:rPr lang="en-GB" sz="1100" baseline="0">
              <a:solidFill>
                <a:sysClr val="windowText" lastClr="000000"/>
              </a:solidFill>
            </a:rPr>
            <a:t>You will see what the NHS </a:t>
          </a:r>
          <a:r>
            <a:rPr lang="en-GB" sz="1100" baseline="0">
              <a:solidFill>
                <a:sysClr val="windowText" lastClr="000000"/>
              </a:solidFill>
              <a:effectLst/>
              <a:latin typeface="+mn-lt"/>
              <a:ea typeface="+mn-ea"/>
              <a:cs typeface="+mn-cs"/>
            </a:rPr>
            <a:t>1 year </a:t>
          </a:r>
          <a:r>
            <a:rPr lang="en-GB" sz="1100" baseline="0">
              <a:solidFill>
                <a:sysClr val="windowText" lastClr="000000"/>
              </a:solidFill>
            </a:rPr>
            <a:t>cost and the social  care </a:t>
          </a:r>
          <a:r>
            <a:rPr lang="en-GB" sz="1100" baseline="0">
              <a:solidFill>
                <a:sysClr val="windowText" lastClr="000000"/>
              </a:solidFill>
              <a:effectLst/>
              <a:latin typeface="+mn-lt"/>
              <a:ea typeface="+mn-ea"/>
              <a:cs typeface="+mn-cs"/>
            </a:rPr>
            <a:t>1 year </a:t>
          </a:r>
          <a:r>
            <a:rPr lang="en-GB" sz="1100" baseline="0">
              <a:solidFill>
                <a:sysClr val="windowText" lastClr="000000"/>
              </a:solidFill>
            </a:rPr>
            <a:t>cost for your patients are  for four different scenarios. </a:t>
          </a:r>
        </a:p>
        <a:p>
          <a:r>
            <a:rPr lang="en-GB" sz="1100" baseline="0">
              <a:solidFill>
                <a:sysClr val="windowText" lastClr="000000"/>
              </a:solidFill>
            </a:rPr>
            <a:t>•  Scenario 1 shows you the current situation at your hospital based on the information you have entered in the data box to the left. </a:t>
          </a:r>
          <a:endParaRPr lang="en-GB" sz="1100">
            <a:solidFill>
              <a:sysClr val="windowText" lastClr="000000"/>
            </a:solidFill>
          </a:endParaRPr>
        </a:p>
        <a:p>
          <a:r>
            <a:rPr lang="en-GB" sz="1100">
              <a:solidFill>
                <a:sysClr val="windowText" lastClr="000000"/>
              </a:solidFill>
            </a:rPr>
            <a:t>• Scenario</a:t>
          </a:r>
          <a:r>
            <a:rPr lang="en-GB" sz="1100" baseline="0">
              <a:solidFill>
                <a:sysClr val="windowText" lastClr="000000"/>
              </a:solidFill>
            </a:rPr>
            <a:t> 2 shows you what would happen if you thrombolysed 20.0% of your patients.</a:t>
          </a:r>
        </a:p>
        <a:p>
          <a:r>
            <a:rPr lang="en-GB" sz="1100" baseline="0">
              <a:solidFill>
                <a:sysClr val="windowText" lastClr="000000"/>
              </a:solidFill>
            </a:rPr>
            <a:t>• </a:t>
          </a:r>
          <a:r>
            <a:rPr lang="en-GB" sz="1100">
              <a:solidFill>
                <a:schemeClr val="dk1"/>
              </a:solidFill>
              <a:effectLst/>
              <a:latin typeface="+mn-lt"/>
              <a:ea typeface="+mn-ea"/>
              <a:cs typeface="+mn-cs"/>
            </a:rPr>
            <a:t>Scenario</a:t>
          </a:r>
          <a:r>
            <a:rPr lang="en-GB" sz="1100" baseline="0">
              <a:solidFill>
                <a:schemeClr val="dk1"/>
              </a:solidFill>
              <a:effectLst/>
              <a:latin typeface="+mn-lt"/>
              <a:ea typeface="+mn-ea"/>
              <a:cs typeface="+mn-cs"/>
            </a:rPr>
            <a:t> 3 shows you what would happen if you thrombolysed 16.0% of your patients.</a:t>
          </a:r>
          <a:endParaRPr lang="en-GB">
            <a:effectLst/>
          </a:endParaRPr>
        </a:p>
        <a:p>
          <a:r>
            <a:rPr lang="en-GB" sz="1100" baseline="0">
              <a:solidFill>
                <a:sysClr val="windowText" lastClr="000000"/>
              </a:solidFill>
              <a:effectLst/>
              <a:latin typeface="+mn-lt"/>
              <a:ea typeface="+mn-ea"/>
              <a:cs typeface="+mn-cs"/>
            </a:rPr>
            <a:t>• In Scenario 4 you can change the percentage thrombolysed. It will then show you the impact on cost.</a:t>
          </a:r>
        </a:p>
        <a:p>
          <a:endParaRPr lang="en-GB" sz="1100" baseline="0">
            <a:solidFill>
              <a:sysClr val="windowText" lastClr="000000"/>
            </a:solidFill>
            <a:effectLst/>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GB" sz="1100" baseline="0">
              <a:solidFill>
                <a:sysClr val="windowText" lastClr="000000"/>
              </a:solidFill>
              <a:effectLst/>
              <a:latin typeface="+mn-lt"/>
              <a:ea typeface="+mn-ea"/>
              <a:cs typeface="+mn-cs"/>
            </a:rPr>
            <a:t>Scenario 2-4 have two graphs next to them; one showing the 1 year NHS cost and the 1 year social care cost for the current situation (Scenario 1) and the respective Scenario, and one showing the number of patients thrombolysed for the current situation (Scenario 1) and the respective Scenario.</a:t>
          </a:r>
        </a:p>
        <a:p>
          <a:endParaRPr lang="en-GB" sz="1100" baseline="0">
            <a:solidFill>
              <a:schemeClr val="dk1"/>
            </a:solidFill>
            <a:effectLst/>
            <a:latin typeface="+mn-lt"/>
            <a:ea typeface="+mn-ea"/>
            <a:cs typeface="+mn-cs"/>
          </a:endParaRPr>
        </a:p>
        <a:p>
          <a:r>
            <a:rPr lang="en-GB" sz="1100" baseline="0">
              <a:solidFill>
                <a:schemeClr val="dk1"/>
              </a:solidFill>
              <a:effectLst/>
              <a:latin typeface="+mn-lt"/>
              <a:ea typeface="+mn-ea"/>
              <a:cs typeface="+mn-cs"/>
            </a:rPr>
            <a:t>The final box shows a summary of costs for all the different </a:t>
          </a:r>
          <a:r>
            <a:rPr lang="en-GB" sz="1100" baseline="0">
              <a:solidFill>
                <a:sysClr val="windowText" lastClr="000000"/>
              </a:solidFill>
              <a:effectLst/>
              <a:latin typeface="+mn-lt"/>
              <a:ea typeface="+mn-ea"/>
              <a:cs typeface="+mn-cs"/>
            </a:rPr>
            <a:t>Sc</a:t>
          </a:r>
          <a:r>
            <a:rPr lang="en-GB" sz="1100" baseline="0">
              <a:solidFill>
                <a:schemeClr val="dk1"/>
              </a:solidFill>
              <a:effectLst/>
              <a:latin typeface="+mn-lt"/>
              <a:ea typeface="+mn-ea"/>
              <a:cs typeface="+mn-cs"/>
            </a:rPr>
            <a:t>enarios. There are also two graphs showing costs and number of patients thrombolysed. </a:t>
          </a:r>
        </a:p>
      </xdr:txBody>
    </xdr:sp>
    <xdr:clientData/>
  </xdr:twoCellAnchor>
  <xdr:twoCellAnchor>
    <xdr:from>
      <xdr:col>0</xdr:col>
      <xdr:colOff>0</xdr:colOff>
      <xdr:row>42</xdr:row>
      <xdr:rowOff>41273</xdr:rowOff>
    </xdr:from>
    <xdr:to>
      <xdr:col>7</xdr:col>
      <xdr:colOff>460375</xdr:colOff>
      <xdr:row>63</xdr:row>
      <xdr:rowOff>96306</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4233</xdr:colOff>
      <xdr:row>20</xdr:row>
      <xdr:rowOff>52916</xdr:rowOff>
    </xdr:from>
    <xdr:to>
      <xdr:col>7</xdr:col>
      <xdr:colOff>2423583</xdr:colOff>
      <xdr:row>23</xdr:row>
      <xdr:rowOff>336199</xdr:rowOff>
    </xdr:to>
    <xdr:graphicFrame macro="">
      <xdr:nvGraphicFramePr>
        <xdr:cNvPr id="6" name="Chart 5" descr="SSNAP Health Economics Model 201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2880180</xdr:colOff>
      <xdr:row>20</xdr:row>
      <xdr:rowOff>75294</xdr:rowOff>
    </xdr:from>
    <xdr:to>
      <xdr:col>12</xdr:col>
      <xdr:colOff>514047</xdr:colOff>
      <xdr:row>23</xdr:row>
      <xdr:rowOff>358577</xdr:rowOff>
    </xdr:to>
    <xdr:graphicFrame macro="">
      <xdr:nvGraphicFramePr>
        <xdr:cNvPr id="7" name="Chart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1059</xdr:colOff>
      <xdr:row>23</xdr:row>
      <xdr:rowOff>465666</xdr:rowOff>
    </xdr:from>
    <xdr:to>
      <xdr:col>7</xdr:col>
      <xdr:colOff>2487084</xdr:colOff>
      <xdr:row>28</xdr:row>
      <xdr:rowOff>323849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2878665</xdr:colOff>
      <xdr:row>23</xdr:row>
      <xdr:rowOff>465667</xdr:rowOff>
    </xdr:from>
    <xdr:to>
      <xdr:col>12</xdr:col>
      <xdr:colOff>512532</xdr:colOff>
      <xdr:row>28</xdr:row>
      <xdr:rowOff>296635</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250826</xdr:colOff>
      <xdr:row>29</xdr:row>
      <xdr:rowOff>1</xdr:rowOff>
    </xdr:from>
    <xdr:to>
      <xdr:col>7</xdr:col>
      <xdr:colOff>2444751</xdr:colOff>
      <xdr:row>34</xdr:row>
      <xdr:rowOff>177451</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2825750</xdr:colOff>
      <xdr:row>28</xdr:row>
      <xdr:rowOff>465666</xdr:rowOff>
    </xdr:from>
    <xdr:to>
      <xdr:col>12</xdr:col>
      <xdr:colOff>459617</xdr:colOff>
      <xdr:row>34</xdr:row>
      <xdr:rowOff>177449</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40481</xdr:rowOff>
    </xdr:from>
    <xdr:to>
      <xdr:col>0</xdr:col>
      <xdr:colOff>6962775</xdr:colOff>
      <xdr:row>10</xdr:row>
      <xdr:rowOff>8659</xdr:rowOff>
    </xdr:to>
    <xdr:sp macro="" textlink="">
      <xdr:nvSpPr>
        <xdr:cNvPr id="2" name="TextBox 1"/>
        <xdr:cNvSpPr txBox="1"/>
      </xdr:nvSpPr>
      <xdr:spPr>
        <a:xfrm>
          <a:off x="0" y="404163"/>
          <a:ext cx="6962775" cy="168267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 calculations in this tool are based on numbers from the Health Economics model developed at the Royal College of Physicians in 2016. The model results are based on national data on age, sex, stroke type and stroke severity. The tool uses a simplified version of the model and takes into account gender and stroke type making the assumption that the patient population at your hospital follows a similar age and severity structure as the national.</a:t>
          </a: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The purpose of this tool is to estimate the total 1 year cost of stroke to the NHS and the 1 year cost to social care and how these costs change as the thrombolysis rate changes. The numbers presented are estimates and have been rounded to the nearest £100. </a:t>
          </a: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en-GB" sz="1100">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J535"/>
  <sheetViews>
    <sheetView topLeftCell="A33" workbookViewId="0">
      <selection sqref="A1:N1"/>
    </sheetView>
  </sheetViews>
  <sheetFormatPr defaultRowHeight="15" x14ac:dyDescent="0.25"/>
  <cols>
    <col min="1" max="1" width="14.7109375" customWidth="1"/>
    <col min="2" max="3" width="20.42578125" customWidth="1"/>
    <col min="4" max="4" width="13.140625" customWidth="1"/>
    <col min="5" max="5" width="13.42578125" customWidth="1"/>
    <col min="6" max="6" width="14" customWidth="1"/>
    <col min="9" max="9" width="13.7109375" customWidth="1"/>
    <col min="10" max="10" width="14.7109375" customWidth="1"/>
  </cols>
  <sheetData>
    <row r="1" spans="1:10" x14ac:dyDescent="0.25">
      <c r="A1" t="str">
        <f>IF(Costs!E13&gt;0, "increase", "decrease")</f>
        <v>increase</v>
      </c>
    </row>
    <row r="2" spans="1:10" x14ac:dyDescent="0.25">
      <c r="A2" t="e">
        <f>IF(Costs!D40-Costs!C40&lt;0, "fewer", "more")</f>
        <v>#NAME?</v>
      </c>
    </row>
    <row r="3" spans="1:10" x14ac:dyDescent="0.25">
      <c r="A3" t="s">
        <v>28</v>
      </c>
    </row>
    <row r="8" spans="1:10" x14ac:dyDescent="0.25">
      <c r="B8" s="44"/>
      <c r="C8" s="44"/>
      <c r="D8" s="44"/>
    </row>
    <row r="9" spans="1:10" x14ac:dyDescent="0.25">
      <c r="B9" s="44"/>
      <c r="C9" s="44"/>
      <c r="D9" s="44"/>
    </row>
    <row r="11" spans="1:10" x14ac:dyDescent="0.25">
      <c r="B11" s="2"/>
      <c r="C11" s="2"/>
      <c r="D11" s="2"/>
      <c r="E11" s="2"/>
      <c r="F11" s="2"/>
      <c r="G11" s="2"/>
      <c r="H11" s="2"/>
      <c r="I11" s="2"/>
      <c r="J11" s="2"/>
    </row>
    <row r="12" spans="1:10" x14ac:dyDescent="0.25">
      <c r="B12" s="2"/>
      <c r="C12" s="2"/>
    </row>
    <row r="22" spans="2:7" x14ac:dyDescent="0.25">
      <c r="B22" s="3"/>
      <c r="C22" s="3"/>
      <c r="D22" s="3"/>
      <c r="E22" s="3"/>
      <c r="F22" s="3"/>
      <c r="G22" s="3"/>
    </row>
    <row r="23" spans="2:7" x14ac:dyDescent="0.25">
      <c r="B23" s="3"/>
      <c r="C23" s="3"/>
      <c r="D23" s="3"/>
      <c r="E23" s="3"/>
      <c r="F23" s="3"/>
      <c r="G23" s="3"/>
    </row>
    <row r="24" spans="2:7" x14ac:dyDescent="0.25">
      <c r="F24" s="4"/>
    </row>
    <row r="25" spans="2:7" x14ac:dyDescent="0.25">
      <c r="F25" s="4"/>
    </row>
    <row r="26" spans="2:7" x14ac:dyDescent="0.25">
      <c r="F26" s="4"/>
    </row>
    <row r="27" spans="2:7" x14ac:dyDescent="0.25">
      <c r="F27" s="4"/>
    </row>
    <row r="28" spans="2:7" x14ac:dyDescent="0.25">
      <c r="F28" s="4"/>
    </row>
    <row r="29" spans="2:7" x14ac:dyDescent="0.25">
      <c r="F29" s="4"/>
    </row>
    <row r="30" spans="2:7" x14ac:dyDescent="0.25">
      <c r="F30" s="4"/>
    </row>
    <row r="31" spans="2:7" x14ac:dyDescent="0.25">
      <c r="F31" s="4"/>
    </row>
    <row r="32" spans="2:7" x14ac:dyDescent="0.25">
      <c r="F32" s="4"/>
    </row>
    <row r="33" spans="1:10" x14ac:dyDescent="0.25">
      <c r="F33" s="4"/>
    </row>
    <row r="34" spans="1:10" x14ac:dyDescent="0.25">
      <c r="F34" s="4"/>
    </row>
    <row r="35" spans="1:10" x14ac:dyDescent="0.25">
      <c r="F35" s="4"/>
    </row>
    <row r="36" spans="1:10" x14ac:dyDescent="0.25">
      <c r="F36" s="4"/>
    </row>
    <row r="38" spans="1:10" x14ac:dyDescent="0.25">
      <c r="A38" s="44" t="s">
        <v>20</v>
      </c>
      <c r="B38" s="44"/>
      <c r="C38" s="44"/>
      <c r="D38" s="44"/>
      <c r="E38" s="44"/>
      <c r="F38" s="44"/>
      <c r="G38" s="44"/>
      <c r="H38" s="44"/>
      <c r="I38" s="44"/>
    </row>
    <row r="39" spans="1:10" x14ac:dyDescent="0.25">
      <c r="A39" s="44"/>
      <c r="B39" s="44"/>
      <c r="C39" s="44"/>
      <c r="D39" s="44"/>
      <c r="E39" s="44"/>
      <c r="F39" s="44"/>
      <c r="G39" s="44"/>
      <c r="H39" s="44"/>
      <c r="I39" s="44"/>
    </row>
    <row r="40" spans="1:10" ht="75" x14ac:dyDescent="0.25">
      <c r="B40" s="2" t="s">
        <v>29</v>
      </c>
      <c r="C40" s="2" t="s">
        <v>3</v>
      </c>
      <c r="D40" s="2" t="s">
        <v>0</v>
      </c>
      <c r="E40" s="2" t="s">
        <v>1</v>
      </c>
      <c r="F40" s="2" t="s">
        <v>2</v>
      </c>
      <c r="G40" s="2" t="s">
        <v>9</v>
      </c>
      <c r="H40" s="2" t="s">
        <v>10</v>
      </c>
      <c r="I40" s="2" t="s">
        <v>11</v>
      </c>
      <c r="J40" s="2" t="s">
        <v>12</v>
      </c>
    </row>
    <row r="41" spans="1:10" x14ac:dyDescent="0.25">
      <c r="B41" s="2">
        <v>0</v>
      </c>
      <c r="C41" s="2"/>
      <c r="D41" s="4"/>
      <c r="E41" s="11">
        <f>-3435.5*B41 + 14149</f>
        <v>14149</v>
      </c>
      <c r="F41" s="11">
        <f xml:space="preserve"> -2966.9*B41 + 12996</f>
        <v>12996</v>
      </c>
      <c r="G41" s="13">
        <v>15224</v>
      </c>
      <c r="H41" s="13">
        <v>14352</v>
      </c>
      <c r="I41" s="11">
        <v>14149</v>
      </c>
      <c r="J41" s="11">
        <v>12996</v>
      </c>
    </row>
    <row r="42" spans="1:10" x14ac:dyDescent="0.25">
      <c r="B42" s="2">
        <v>1E-3</v>
      </c>
      <c r="C42" s="2"/>
      <c r="D42" s="4"/>
      <c r="E42" s="11">
        <f t="shared" ref="E42:E105" si="0">-3435.5*B42 + 14149</f>
        <v>14145.5645</v>
      </c>
      <c r="F42" s="11">
        <f t="shared" ref="F42:F105" si="1" xml:space="preserve"> -2966.9*B42 + 12996</f>
        <v>12993.033100000001</v>
      </c>
      <c r="G42" s="13"/>
      <c r="H42" s="13"/>
      <c r="I42" s="11"/>
      <c r="J42" s="11"/>
    </row>
    <row r="43" spans="1:10" x14ac:dyDescent="0.25">
      <c r="B43" s="2">
        <v>2E-3</v>
      </c>
      <c r="C43" s="2"/>
      <c r="D43" s="4"/>
      <c r="E43" s="11">
        <f t="shared" si="0"/>
        <v>14142.129000000001</v>
      </c>
      <c r="F43" s="11">
        <f t="shared" si="1"/>
        <v>12990.066199999999</v>
      </c>
      <c r="G43" s="13"/>
      <c r="H43" s="13"/>
      <c r="I43" s="11"/>
      <c r="J43" s="11"/>
    </row>
    <row r="44" spans="1:10" x14ac:dyDescent="0.25">
      <c r="B44" s="2">
        <v>3.0000000000000001E-3</v>
      </c>
      <c r="C44" s="2"/>
      <c r="D44" s="4"/>
      <c r="E44" s="11">
        <f t="shared" si="0"/>
        <v>14138.693499999999</v>
      </c>
      <c r="F44" s="11">
        <f t="shared" si="1"/>
        <v>12987.0993</v>
      </c>
      <c r="G44" s="13"/>
      <c r="H44" s="13"/>
      <c r="I44" s="11"/>
      <c r="J44" s="11"/>
    </row>
    <row r="45" spans="1:10" x14ac:dyDescent="0.25">
      <c r="B45" s="2">
        <v>4.0000000000000001E-3</v>
      </c>
      <c r="C45" s="2"/>
      <c r="D45" s="4"/>
      <c r="E45" s="11">
        <f t="shared" si="0"/>
        <v>14135.258</v>
      </c>
      <c r="F45" s="11">
        <f t="shared" si="1"/>
        <v>12984.1324</v>
      </c>
      <c r="G45" s="13"/>
      <c r="H45" s="13"/>
      <c r="I45" s="11"/>
      <c r="J45" s="11"/>
    </row>
    <row r="46" spans="1:10" x14ac:dyDescent="0.25">
      <c r="B46" s="2">
        <v>5.0000000000000001E-3</v>
      </c>
      <c r="C46" s="2"/>
      <c r="D46" s="4"/>
      <c r="E46" s="11">
        <f t="shared" si="0"/>
        <v>14131.8225</v>
      </c>
      <c r="F46" s="11">
        <f t="shared" si="1"/>
        <v>12981.165499999999</v>
      </c>
      <c r="G46" s="13"/>
      <c r="H46" s="13"/>
      <c r="I46" s="11"/>
      <c r="J46" s="11"/>
    </row>
    <row r="47" spans="1:10" x14ac:dyDescent="0.25">
      <c r="B47" s="2">
        <v>6.0000000000000001E-3</v>
      </c>
      <c r="C47" s="2"/>
      <c r="D47" s="4"/>
      <c r="E47" s="11">
        <f t="shared" si="0"/>
        <v>14128.387000000001</v>
      </c>
      <c r="F47" s="11">
        <f t="shared" si="1"/>
        <v>12978.1986</v>
      </c>
      <c r="G47" s="13"/>
      <c r="H47" s="13"/>
      <c r="I47" s="11"/>
      <c r="J47" s="11"/>
    </row>
    <row r="48" spans="1:10" x14ac:dyDescent="0.25">
      <c r="B48" s="2">
        <v>7.0000000000000001E-3</v>
      </c>
      <c r="C48" s="2"/>
      <c r="D48" s="4"/>
      <c r="E48" s="11">
        <f t="shared" si="0"/>
        <v>14124.951499999999</v>
      </c>
      <c r="F48" s="11">
        <f t="shared" si="1"/>
        <v>12975.2317</v>
      </c>
      <c r="G48" s="13"/>
      <c r="H48" s="13"/>
      <c r="I48" s="11"/>
      <c r="J48" s="11"/>
    </row>
    <row r="49" spans="2:10" x14ac:dyDescent="0.25">
      <c r="B49" s="2">
        <v>8.0000000000000002E-3</v>
      </c>
      <c r="D49" s="4"/>
      <c r="E49" s="11">
        <f t="shared" si="0"/>
        <v>14121.516</v>
      </c>
      <c r="F49" s="11">
        <f t="shared" si="1"/>
        <v>12972.264800000001</v>
      </c>
      <c r="I49" s="13"/>
      <c r="J49" s="13"/>
    </row>
    <row r="50" spans="2:10" x14ac:dyDescent="0.25">
      <c r="B50" s="2">
        <v>8.9999999999999993E-3</v>
      </c>
      <c r="D50" s="4"/>
      <c r="E50" s="11">
        <f t="shared" si="0"/>
        <v>14118.0805</v>
      </c>
      <c r="F50" s="11">
        <f t="shared" si="1"/>
        <v>12969.2979</v>
      </c>
    </row>
    <row r="51" spans="2:10" x14ac:dyDescent="0.25">
      <c r="B51" s="2">
        <v>0.01</v>
      </c>
      <c r="D51" s="4"/>
      <c r="E51" s="11">
        <f t="shared" si="0"/>
        <v>14114.645</v>
      </c>
      <c r="F51" s="11">
        <f t="shared" si="1"/>
        <v>12966.331</v>
      </c>
    </row>
    <row r="52" spans="2:10" x14ac:dyDescent="0.25">
      <c r="B52" s="2">
        <v>1.0999999999999999E-2</v>
      </c>
      <c r="D52" s="4"/>
      <c r="E52" s="11">
        <f t="shared" si="0"/>
        <v>14111.209500000001</v>
      </c>
      <c r="F52" s="11">
        <f t="shared" si="1"/>
        <v>12963.364100000001</v>
      </c>
      <c r="H52" s="13"/>
    </row>
    <row r="53" spans="2:10" x14ac:dyDescent="0.25">
      <c r="B53" s="2">
        <v>1.2E-2</v>
      </c>
      <c r="D53" s="4"/>
      <c r="E53" s="11">
        <f t="shared" si="0"/>
        <v>14107.773999999999</v>
      </c>
      <c r="F53" s="11">
        <f t="shared" si="1"/>
        <v>12960.397199999999</v>
      </c>
    </row>
    <row r="54" spans="2:10" x14ac:dyDescent="0.25">
      <c r="B54" s="2">
        <v>1.2999999999999999E-2</v>
      </c>
      <c r="D54" s="4"/>
      <c r="E54" s="11">
        <f t="shared" si="0"/>
        <v>14104.3385</v>
      </c>
      <c r="F54" s="11">
        <f t="shared" si="1"/>
        <v>12957.4303</v>
      </c>
    </row>
    <row r="55" spans="2:10" x14ac:dyDescent="0.25">
      <c r="B55" s="2">
        <v>1.4E-2</v>
      </c>
      <c r="D55" s="4"/>
      <c r="E55" s="11">
        <f t="shared" si="0"/>
        <v>14100.903</v>
      </c>
      <c r="F55" s="11">
        <f t="shared" si="1"/>
        <v>12954.463400000001</v>
      </c>
    </row>
    <row r="56" spans="2:10" x14ac:dyDescent="0.25">
      <c r="B56" s="2">
        <v>1.4999999999999999E-2</v>
      </c>
      <c r="D56" s="4"/>
      <c r="E56" s="11">
        <f t="shared" si="0"/>
        <v>14097.467500000001</v>
      </c>
      <c r="F56" s="11">
        <f t="shared" si="1"/>
        <v>12951.496499999999</v>
      </c>
    </row>
    <row r="57" spans="2:10" x14ac:dyDescent="0.25">
      <c r="B57" s="2">
        <v>1.6E-2</v>
      </c>
      <c r="D57" s="4"/>
      <c r="E57" s="11">
        <f t="shared" si="0"/>
        <v>14094.031999999999</v>
      </c>
      <c r="F57" s="11">
        <f t="shared" si="1"/>
        <v>12948.5296</v>
      </c>
    </row>
    <row r="58" spans="2:10" x14ac:dyDescent="0.25">
      <c r="B58" s="2">
        <v>1.7000000000000001E-2</v>
      </c>
      <c r="D58" s="4"/>
      <c r="E58" s="11">
        <f t="shared" si="0"/>
        <v>14090.5965</v>
      </c>
      <c r="F58" s="11">
        <f t="shared" si="1"/>
        <v>12945.5627</v>
      </c>
    </row>
    <row r="59" spans="2:10" x14ac:dyDescent="0.25">
      <c r="B59" s="2">
        <v>1.7999999999999999E-2</v>
      </c>
      <c r="D59" s="4"/>
      <c r="E59" s="11">
        <f t="shared" si="0"/>
        <v>14087.161</v>
      </c>
      <c r="F59" s="11">
        <f t="shared" si="1"/>
        <v>12942.595799999999</v>
      </c>
    </row>
    <row r="60" spans="2:10" x14ac:dyDescent="0.25">
      <c r="B60" s="2">
        <v>1.9E-2</v>
      </c>
      <c r="D60" s="4"/>
      <c r="E60" s="11">
        <f t="shared" si="0"/>
        <v>14083.7255</v>
      </c>
      <c r="F60" s="11">
        <f t="shared" si="1"/>
        <v>12939.6289</v>
      </c>
    </row>
    <row r="61" spans="2:10" x14ac:dyDescent="0.25">
      <c r="B61" s="2">
        <v>0.02</v>
      </c>
      <c r="D61" s="4"/>
      <c r="E61" s="11">
        <f t="shared" si="0"/>
        <v>14080.29</v>
      </c>
      <c r="F61" s="11">
        <f t="shared" si="1"/>
        <v>12936.662</v>
      </c>
    </row>
    <row r="62" spans="2:10" x14ac:dyDescent="0.25">
      <c r="B62" s="2">
        <v>2.1000000000000001E-2</v>
      </c>
      <c r="D62" s="4"/>
      <c r="E62" s="11">
        <f t="shared" si="0"/>
        <v>14076.854499999999</v>
      </c>
      <c r="F62" s="11">
        <f t="shared" si="1"/>
        <v>12933.695100000001</v>
      </c>
    </row>
    <row r="63" spans="2:10" x14ac:dyDescent="0.25">
      <c r="B63" s="2">
        <v>2.1999999999999999E-2</v>
      </c>
      <c r="D63" s="4"/>
      <c r="E63" s="11">
        <f t="shared" si="0"/>
        <v>14073.419</v>
      </c>
      <c r="F63" s="11">
        <f t="shared" si="1"/>
        <v>12930.7282</v>
      </c>
    </row>
    <row r="64" spans="2:10" x14ac:dyDescent="0.25">
      <c r="B64" s="2">
        <v>2.3E-2</v>
      </c>
      <c r="D64" s="4"/>
      <c r="E64" s="11">
        <f t="shared" si="0"/>
        <v>14069.9835</v>
      </c>
      <c r="F64" s="11">
        <f t="shared" si="1"/>
        <v>12927.7613</v>
      </c>
    </row>
    <row r="65" spans="2:6" x14ac:dyDescent="0.25">
      <c r="B65" s="2">
        <v>2.4E-2</v>
      </c>
      <c r="D65" s="4"/>
      <c r="E65" s="11">
        <f t="shared" si="0"/>
        <v>14066.548000000001</v>
      </c>
      <c r="F65" s="11">
        <f t="shared" si="1"/>
        <v>12924.794400000001</v>
      </c>
    </row>
    <row r="66" spans="2:6" x14ac:dyDescent="0.25">
      <c r="B66" s="2">
        <v>2.5000000000000001E-2</v>
      </c>
      <c r="D66" s="4"/>
      <c r="E66" s="11">
        <f t="shared" si="0"/>
        <v>14063.112499999999</v>
      </c>
      <c r="F66" s="11">
        <f t="shared" si="1"/>
        <v>12921.827499999999</v>
      </c>
    </row>
    <row r="67" spans="2:6" x14ac:dyDescent="0.25">
      <c r="B67" s="2">
        <v>2.5999999999999999E-2</v>
      </c>
      <c r="D67" s="4"/>
      <c r="E67" s="11">
        <f t="shared" si="0"/>
        <v>14059.677</v>
      </c>
      <c r="F67" s="11">
        <f t="shared" si="1"/>
        <v>12918.8606</v>
      </c>
    </row>
    <row r="68" spans="2:6" x14ac:dyDescent="0.25">
      <c r="B68" s="2">
        <v>2.7E-2</v>
      </c>
      <c r="D68" s="4"/>
      <c r="E68" s="11">
        <f t="shared" si="0"/>
        <v>14056.2415</v>
      </c>
      <c r="F68" s="11">
        <f t="shared" si="1"/>
        <v>12915.893700000001</v>
      </c>
    </row>
    <row r="69" spans="2:6" x14ac:dyDescent="0.25">
      <c r="B69" s="2">
        <v>2.8000000000000001E-2</v>
      </c>
      <c r="D69" s="4"/>
      <c r="E69" s="11">
        <f t="shared" si="0"/>
        <v>14052.806</v>
      </c>
      <c r="F69" s="11">
        <f t="shared" si="1"/>
        <v>12912.926799999999</v>
      </c>
    </row>
    <row r="70" spans="2:6" x14ac:dyDescent="0.25">
      <c r="B70" s="2">
        <v>2.9000000000000001E-2</v>
      </c>
      <c r="D70" s="4"/>
      <c r="E70" s="11">
        <f t="shared" si="0"/>
        <v>14049.370500000001</v>
      </c>
      <c r="F70" s="11">
        <f t="shared" si="1"/>
        <v>12909.9599</v>
      </c>
    </row>
    <row r="71" spans="2:6" x14ac:dyDescent="0.25">
      <c r="B71" s="2">
        <v>0.03</v>
      </c>
      <c r="D71" s="4"/>
      <c r="E71" s="11">
        <f t="shared" si="0"/>
        <v>14045.934999999999</v>
      </c>
      <c r="F71" s="11">
        <f t="shared" si="1"/>
        <v>12906.993</v>
      </c>
    </row>
    <row r="72" spans="2:6" x14ac:dyDescent="0.25">
      <c r="B72" s="2">
        <v>3.1E-2</v>
      </c>
      <c r="D72" s="4"/>
      <c r="E72" s="11">
        <f t="shared" si="0"/>
        <v>14042.4995</v>
      </c>
      <c r="F72" s="11">
        <f t="shared" si="1"/>
        <v>12904.026099999999</v>
      </c>
    </row>
    <row r="73" spans="2:6" x14ac:dyDescent="0.25">
      <c r="B73" s="2">
        <v>3.2000000000000001E-2</v>
      </c>
      <c r="D73" s="4"/>
      <c r="E73" s="11">
        <f t="shared" si="0"/>
        <v>14039.064</v>
      </c>
      <c r="F73" s="11">
        <f t="shared" si="1"/>
        <v>12901.0592</v>
      </c>
    </row>
    <row r="74" spans="2:6" x14ac:dyDescent="0.25">
      <c r="B74" s="2">
        <v>3.3000000000000002E-2</v>
      </c>
      <c r="D74" s="4"/>
      <c r="E74" s="11">
        <f t="shared" si="0"/>
        <v>14035.628500000001</v>
      </c>
      <c r="F74" s="11">
        <f t="shared" si="1"/>
        <v>12898.0923</v>
      </c>
    </row>
    <row r="75" spans="2:6" x14ac:dyDescent="0.25">
      <c r="B75" s="2">
        <v>3.4000000000000002E-2</v>
      </c>
      <c r="D75" s="4"/>
      <c r="E75" s="11">
        <f t="shared" si="0"/>
        <v>14032.192999999999</v>
      </c>
      <c r="F75" s="11">
        <f t="shared" si="1"/>
        <v>12895.125400000001</v>
      </c>
    </row>
    <row r="76" spans="2:6" x14ac:dyDescent="0.25">
      <c r="B76" s="2">
        <v>3.5000000000000003E-2</v>
      </c>
      <c r="D76" s="4"/>
      <c r="E76" s="11">
        <f t="shared" si="0"/>
        <v>14028.7575</v>
      </c>
      <c r="F76" s="11">
        <f t="shared" si="1"/>
        <v>12892.1585</v>
      </c>
    </row>
    <row r="77" spans="2:6" x14ac:dyDescent="0.25">
      <c r="B77" s="2">
        <v>3.5999999999999997E-2</v>
      </c>
      <c r="D77" s="4"/>
      <c r="E77" s="11">
        <f t="shared" si="0"/>
        <v>14025.322</v>
      </c>
      <c r="F77" s="11">
        <f t="shared" si="1"/>
        <v>12889.1916</v>
      </c>
    </row>
    <row r="78" spans="2:6" x14ac:dyDescent="0.25">
      <c r="B78" s="2">
        <v>3.6999999999999998E-2</v>
      </c>
      <c r="D78" s="4"/>
      <c r="E78" s="11">
        <f t="shared" si="0"/>
        <v>14021.886500000001</v>
      </c>
      <c r="F78" s="11">
        <f t="shared" si="1"/>
        <v>12886.224700000001</v>
      </c>
    </row>
    <row r="79" spans="2:6" x14ac:dyDescent="0.25">
      <c r="B79" s="2">
        <v>3.7999999999999999E-2</v>
      </c>
      <c r="D79" s="4"/>
      <c r="E79" s="11">
        <f t="shared" si="0"/>
        <v>14018.450999999999</v>
      </c>
      <c r="F79" s="11">
        <f t="shared" si="1"/>
        <v>12883.257799999999</v>
      </c>
    </row>
    <row r="80" spans="2:6" x14ac:dyDescent="0.25">
      <c r="B80" s="2">
        <v>3.9E-2</v>
      </c>
      <c r="D80" s="4"/>
      <c r="E80" s="11">
        <f t="shared" si="0"/>
        <v>14015.0155</v>
      </c>
      <c r="F80" s="11">
        <f t="shared" si="1"/>
        <v>12880.2909</v>
      </c>
    </row>
    <row r="81" spans="2:6" x14ac:dyDescent="0.25">
      <c r="B81" s="2">
        <v>0.04</v>
      </c>
      <c r="D81" s="4"/>
      <c r="E81" s="11">
        <f t="shared" si="0"/>
        <v>14011.58</v>
      </c>
      <c r="F81" s="11">
        <f t="shared" si="1"/>
        <v>12877.324000000001</v>
      </c>
    </row>
    <row r="82" spans="2:6" x14ac:dyDescent="0.25">
      <c r="B82" s="2">
        <v>4.1000000000000002E-2</v>
      </c>
      <c r="D82" s="4"/>
      <c r="E82" s="11">
        <f t="shared" si="0"/>
        <v>14008.1445</v>
      </c>
      <c r="F82" s="11">
        <f t="shared" si="1"/>
        <v>12874.357099999999</v>
      </c>
    </row>
    <row r="83" spans="2:6" x14ac:dyDescent="0.25">
      <c r="B83" s="2">
        <v>4.2000000000000003E-2</v>
      </c>
      <c r="D83" s="4"/>
      <c r="E83" s="11">
        <f t="shared" si="0"/>
        <v>14004.709000000001</v>
      </c>
      <c r="F83" s="11">
        <f t="shared" si="1"/>
        <v>12871.3902</v>
      </c>
    </row>
    <row r="84" spans="2:6" x14ac:dyDescent="0.25">
      <c r="B84" s="2">
        <v>4.2999999999999997E-2</v>
      </c>
      <c r="D84" s="4"/>
      <c r="E84" s="11">
        <f t="shared" si="0"/>
        <v>14001.273499999999</v>
      </c>
      <c r="F84" s="11">
        <f t="shared" si="1"/>
        <v>12868.4233</v>
      </c>
    </row>
    <row r="85" spans="2:6" x14ac:dyDescent="0.25">
      <c r="B85" s="2">
        <v>4.3999999999999997E-2</v>
      </c>
      <c r="D85" s="4"/>
      <c r="E85" s="11">
        <f t="shared" si="0"/>
        <v>13997.838</v>
      </c>
      <c r="F85" s="11">
        <f t="shared" si="1"/>
        <v>12865.456399999999</v>
      </c>
    </row>
    <row r="86" spans="2:6" x14ac:dyDescent="0.25">
      <c r="B86" s="2">
        <v>4.4999999999999998E-2</v>
      </c>
      <c r="D86" s="4"/>
      <c r="E86" s="11">
        <f t="shared" si="0"/>
        <v>13994.4025</v>
      </c>
      <c r="F86" s="11">
        <f t="shared" si="1"/>
        <v>12862.4895</v>
      </c>
    </row>
    <row r="87" spans="2:6" x14ac:dyDescent="0.25">
      <c r="B87" s="2">
        <v>4.5999999999999999E-2</v>
      </c>
      <c r="D87" s="4"/>
      <c r="E87" s="11">
        <f t="shared" si="0"/>
        <v>13990.967000000001</v>
      </c>
      <c r="F87" s="11">
        <f t="shared" si="1"/>
        <v>12859.5226</v>
      </c>
    </row>
    <row r="88" spans="2:6" x14ac:dyDescent="0.25">
      <c r="B88" s="2">
        <v>4.7E-2</v>
      </c>
      <c r="D88" s="4"/>
      <c r="E88" s="11">
        <f t="shared" si="0"/>
        <v>13987.531499999999</v>
      </c>
      <c r="F88" s="11">
        <f t="shared" si="1"/>
        <v>12856.555700000001</v>
      </c>
    </row>
    <row r="89" spans="2:6" x14ac:dyDescent="0.25">
      <c r="B89" s="2">
        <v>4.8000000000000001E-2</v>
      </c>
      <c r="D89" s="4"/>
      <c r="E89" s="11">
        <f t="shared" si="0"/>
        <v>13984.096</v>
      </c>
      <c r="F89" s="11">
        <f t="shared" si="1"/>
        <v>12853.5888</v>
      </c>
    </row>
    <row r="90" spans="2:6" x14ac:dyDescent="0.25">
      <c r="B90" s="2">
        <v>4.9000000000000002E-2</v>
      </c>
      <c r="D90" s="4"/>
      <c r="E90" s="11">
        <f t="shared" si="0"/>
        <v>13980.6605</v>
      </c>
      <c r="F90" s="11">
        <f t="shared" si="1"/>
        <v>12850.6219</v>
      </c>
    </row>
    <row r="91" spans="2:6" x14ac:dyDescent="0.25">
      <c r="B91" s="2">
        <v>0.05</v>
      </c>
      <c r="D91" s="4"/>
      <c r="E91" s="11">
        <f t="shared" si="0"/>
        <v>13977.225</v>
      </c>
      <c r="F91" s="11">
        <f t="shared" si="1"/>
        <v>12847.655000000001</v>
      </c>
    </row>
    <row r="92" spans="2:6" x14ac:dyDescent="0.25">
      <c r="B92" s="2">
        <v>5.0999999999999997E-2</v>
      </c>
      <c r="D92" s="4"/>
      <c r="E92" s="11">
        <f t="shared" si="0"/>
        <v>13973.789500000001</v>
      </c>
      <c r="F92" s="11">
        <f t="shared" si="1"/>
        <v>12844.688099999999</v>
      </c>
    </row>
    <row r="93" spans="2:6" x14ac:dyDescent="0.25">
      <c r="B93" s="2">
        <v>5.1999999999999998E-2</v>
      </c>
      <c r="D93" s="4"/>
      <c r="E93" s="11">
        <f t="shared" si="0"/>
        <v>13970.353999999999</v>
      </c>
      <c r="F93" s="11">
        <f t="shared" si="1"/>
        <v>12841.7212</v>
      </c>
    </row>
    <row r="94" spans="2:6" x14ac:dyDescent="0.25">
      <c r="B94" s="2">
        <v>5.2999999999999999E-2</v>
      </c>
      <c r="D94" s="4"/>
      <c r="E94" s="11">
        <f t="shared" si="0"/>
        <v>13966.9185</v>
      </c>
      <c r="F94" s="11">
        <f t="shared" si="1"/>
        <v>12838.754300000001</v>
      </c>
    </row>
    <row r="95" spans="2:6" x14ac:dyDescent="0.25">
      <c r="B95" s="2">
        <v>5.3999999999999999E-2</v>
      </c>
      <c r="D95" s="4"/>
      <c r="E95" s="11">
        <f t="shared" si="0"/>
        <v>13963.483</v>
      </c>
      <c r="F95" s="11">
        <f t="shared" si="1"/>
        <v>12835.787399999999</v>
      </c>
    </row>
    <row r="96" spans="2:6" x14ac:dyDescent="0.25">
      <c r="B96" s="2">
        <v>5.5E-2</v>
      </c>
      <c r="D96" s="4"/>
      <c r="E96" s="11">
        <f t="shared" si="0"/>
        <v>13960.047500000001</v>
      </c>
      <c r="F96" s="11">
        <f t="shared" si="1"/>
        <v>12832.8205</v>
      </c>
    </row>
    <row r="97" spans="2:6" x14ac:dyDescent="0.25">
      <c r="B97" s="2">
        <v>5.6000000000000001E-2</v>
      </c>
      <c r="D97" s="4"/>
      <c r="E97" s="11">
        <f t="shared" si="0"/>
        <v>13956.611999999999</v>
      </c>
      <c r="F97" s="11">
        <f t="shared" si="1"/>
        <v>12829.8536</v>
      </c>
    </row>
    <row r="98" spans="2:6" x14ac:dyDescent="0.25">
      <c r="B98" s="2">
        <v>5.7000000000000002E-2</v>
      </c>
      <c r="D98" s="4"/>
      <c r="E98" s="11">
        <f t="shared" si="0"/>
        <v>13953.1765</v>
      </c>
      <c r="F98" s="11">
        <f t="shared" si="1"/>
        <v>12826.886699999999</v>
      </c>
    </row>
    <row r="99" spans="2:6" x14ac:dyDescent="0.25">
      <c r="B99" s="2">
        <v>5.8000000000000003E-2</v>
      </c>
      <c r="D99" s="4"/>
      <c r="E99" s="11">
        <f t="shared" si="0"/>
        <v>13949.741</v>
      </c>
      <c r="F99" s="11">
        <f t="shared" si="1"/>
        <v>12823.9198</v>
      </c>
    </row>
    <row r="100" spans="2:6" x14ac:dyDescent="0.25">
      <c r="B100" s="2">
        <v>5.8999999999999997E-2</v>
      </c>
      <c r="D100" s="4"/>
      <c r="E100" s="11">
        <f t="shared" si="0"/>
        <v>13946.3055</v>
      </c>
      <c r="F100" s="11">
        <f t="shared" si="1"/>
        <v>12820.9529</v>
      </c>
    </row>
    <row r="101" spans="2:6" x14ac:dyDescent="0.25">
      <c r="B101" s="2">
        <v>0.06</v>
      </c>
      <c r="D101" s="4"/>
      <c r="E101" s="11">
        <f t="shared" si="0"/>
        <v>13942.87</v>
      </c>
      <c r="F101" s="11">
        <f t="shared" si="1"/>
        <v>12817.986000000001</v>
      </c>
    </row>
    <row r="102" spans="2:6" x14ac:dyDescent="0.25">
      <c r="B102" s="2">
        <v>6.0999999999999999E-2</v>
      </c>
      <c r="D102" s="4"/>
      <c r="E102" s="11">
        <f t="shared" si="0"/>
        <v>13939.434499999999</v>
      </c>
      <c r="F102" s="11">
        <f t="shared" si="1"/>
        <v>12815.0191</v>
      </c>
    </row>
    <row r="103" spans="2:6" x14ac:dyDescent="0.25">
      <c r="B103" s="2">
        <v>6.2E-2</v>
      </c>
      <c r="D103" s="4"/>
      <c r="E103" s="11">
        <f t="shared" si="0"/>
        <v>13935.999</v>
      </c>
      <c r="F103" s="11">
        <f t="shared" si="1"/>
        <v>12812.0522</v>
      </c>
    </row>
    <row r="104" spans="2:6" x14ac:dyDescent="0.25">
      <c r="B104" s="2">
        <v>6.3E-2</v>
      </c>
      <c r="D104" s="4"/>
      <c r="E104" s="11">
        <f t="shared" si="0"/>
        <v>13932.5635</v>
      </c>
      <c r="F104" s="11">
        <f t="shared" si="1"/>
        <v>12809.085300000001</v>
      </c>
    </row>
    <row r="105" spans="2:6" x14ac:dyDescent="0.25">
      <c r="B105" s="2">
        <v>6.4000000000000001E-2</v>
      </c>
      <c r="D105" s="4"/>
      <c r="E105" s="11">
        <f t="shared" si="0"/>
        <v>13929.128000000001</v>
      </c>
      <c r="F105" s="11">
        <f t="shared" si="1"/>
        <v>12806.118399999999</v>
      </c>
    </row>
    <row r="106" spans="2:6" x14ac:dyDescent="0.25">
      <c r="B106" s="2">
        <v>6.5000000000000002E-2</v>
      </c>
      <c r="D106" s="4"/>
      <c r="E106" s="11">
        <f t="shared" ref="E106:E169" si="2">-3435.5*B106 + 14149</f>
        <v>13925.692499999999</v>
      </c>
      <c r="F106" s="11">
        <f t="shared" ref="F106:F169" si="3" xml:space="preserve"> -2966.9*B106 + 12996</f>
        <v>12803.1515</v>
      </c>
    </row>
    <row r="107" spans="2:6" x14ac:dyDescent="0.25">
      <c r="B107" s="2">
        <v>6.6000000000000003E-2</v>
      </c>
      <c r="D107" s="4"/>
      <c r="E107" s="11">
        <f t="shared" si="2"/>
        <v>13922.257</v>
      </c>
      <c r="F107" s="11">
        <f t="shared" si="3"/>
        <v>12800.184600000001</v>
      </c>
    </row>
    <row r="108" spans="2:6" x14ac:dyDescent="0.25">
      <c r="B108" s="2">
        <v>6.7000000000000004E-2</v>
      </c>
      <c r="D108" s="4"/>
      <c r="E108" s="11">
        <f t="shared" si="2"/>
        <v>13918.8215</v>
      </c>
      <c r="F108" s="11">
        <f t="shared" si="3"/>
        <v>12797.217699999999</v>
      </c>
    </row>
    <row r="109" spans="2:6" x14ac:dyDescent="0.25">
      <c r="B109" s="2">
        <v>6.8000000000000005E-2</v>
      </c>
      <c r="D109" s="4"/>
      <c r="E109" s="11">
        <f t="shared" si="2"/>
        <v>13915.386</v>
      </c>
      <c r="F109" s="11">
        <f t="shared" si="3"/>
        <v>12794.2508</v>
      </c>
    </row>
    <row r="110" spans="2:6" x14ac:dyDescent="0.25">
      <c r="B110" s="2">
        <v>6.9000000000000006E-2</v>
      </c>
      <c r="D110" s="4"/>
      <c r="E110" s="11">
        <f t="shared" si="2"/>
        <v>13911.950500000001</v>
      </c>
      <c r="F110" s="11">
        <f t="shared" si="3"/>
        <v>12791.2839</v>
      </c>
    </row>
    <row r="111" spans="2:6" x14ac:dyDescent="0.25">
      <c r="B111" s="2">
        <v>7.0000000000000007E-2</v>
      </c>
      <c r="D111" s="4"/>
      <c r="E111" s="11">
        <f t="shared" si="2"/>
        <v>13908.514999999999</v>
      </c>
      <c r="F111" s="11">
        <f t="shared" si="3"/>
        <v>12788.316999999999</v>
      </c>
    </row>
    <row r="112" spans="2:6" x14ac:dyDescent="0.25">
      <c r="B112" s="2">
        <v>7.0999999999999994E-2</v>
      </c>
      <c r="D112" s="4"/>
      <c r="E112" s="11">
        <f t="shared" si="2"/>
        <v>13905.0795</v>
      </c>
      <c r="F112" s="11">
        <f t="shared" si="3"/>
        <v>12785.3501</v>
      </c>
    </row>
    <row r="113" spans="2:6" x14ac:dyDescent="0.25">
      <c r="B113" s="2">
        <v>7.1999999999999995E-2</v>
      </c>
      <c r="D113" s="4"/>
      <c r="E113" s="11">
        <f t="shared" si="2"/>
        <v>13901.644</v>
      </c>
      <c r="F113" s="11">
        <f t="shared" si="3"/>
        <v>12782.3832</v>
      </c>
    </row>
    <row r="114" spans="2:6" x14ac:dyDescent="0.25">
      <c r="B114" s="2">
        <v>7.2999999999999995E-2</v>
      </c>
      <c r="D114" s="4"/>
      <c r="E114" s="11">
        <f t="shared" si="2"/>
        <v>13898.208500000001</v>
      </c>
      <c r="F114" s="11">
        <f t="shared" si="3"/>
        <v>12779.416300000001</v>
      </c>
    </row>
    <row r="115" spans="2:6" x14ac:dyDescent="0.25">
      <c r="B115" s="2">
        <v>7.3999999999999996E-2</v>
      </c>
      <c r="D115" s="4"/>
      <c r="E115" s="11">
        <f t="shared" si="2"/>
        <v>13894.772999999999</v>
      </c>
      <c r="F115" s="11">
        <f t="shared" si="3"/>
        <v>12776.4494</v>
      </c>
    </row>
    <row r="116" spans="2:6" x14ac:dyDescent="0.25">
      <c r="B116" s="2">
        <v>7.4999999999999997E-2</v>
      </c>
      <c r="D116" s="4"/>
      <c r="E116" s="11">
        <f t="shared" si="2"/>
        <v>13891.3375</v>
      </c>
      <c r="F116" s="11">
        <f t="shared" si="3"/>
        <v>12773.4825</v>
      </c>
    </row>
    <row r="117" spans="2:6" x14ac:dyDescent="0.25">
      <c r="B117" s="2">
        <v>7.5999999999999998E-2</v>
      </c>
      <c r="D117" s="4"/>
      <c r="E117" s="11">
        <f t="shared" si="2"/>
        <v>13887.902</v>
      </c>
      <c r="F117" s="11">
        <f t="shared" si="3"/>
        <v>12770.515600000001</v>
      </c>
    </row>
    <row r="118" spans="2:6" x14ac:dyDescent="0.25">
      <c r="B118" s="2">
        <v>7.6999999999999999E-2</v>
      </c>
      <c r="D118" s="4"/>
      <c r="E118" s="11">
        <f t="shared" si="2"/>
        <v>13884.4665</v>
      </c>
      <c r="F118" s="11">
        <f t="shared" si="3"/>
        <v>12767.548699999999</v>
      </c>
    </row>
    <row r="119" spans="2:6" x14ac:dyDescent="0.25">
      <c r="B119" s="2">
        <v>7.8E-2</v>
      </c>
      <c r="D119" s="4"/>
      <c r="E119" s="11">
        <f t="shared" si="2"/>
        <v>13881.031000000001</v>
      </c>
      <c r="F119" s="11">
        <f t="shared" si="3"/>
        <v>12764.5818</v>
      </c>
    </row>
    <row r="120" spans="2:6" x14ac:dyDescent="0.25">
      <c r="B120" s="2">
        <v>7.9000000000000001E-2</v>
      </c>
      <c r="D120" s="4"/>
      <c r="E120" s="11">
        <f t="shared" si="2"/>
        <v>13877.595499999999</v>
      </c>
      <c r="F120" s="11">
        <f t="shared" si="3"/>
        <v>12761.6149</v>
      </c>
    </row>
    <row r="121" spans="2:6" x14ac:dyDescent="0.25">
      <c r="B121" s="2">
        <v>0.08</v>
      </c>
      <c r="D121" s="4"/>
      <c r="E121" s="11">
        <f t="shared" si="2"/>
        <v>13874.16</v>
      </c>
      <c r="F121" s="11">
        <f t="shared" si="3"/>
        <v>12758.647999999999</v>
      </c>
    </row>
    <row r="122" spans="2:6" x14ac:dyDescent="0.25">
      <c r="B122" s="2">
        <v>8.1000000000000003E-2</v>
      </c>
      <c r="D122" s="4"/>
      <c r="E122" s="11">
        <f t="shared" si="2"/>
        <v>13870.7245</v>
      </c>
      <c r="F122" s="11">
        <f t="shared" si="3"/>
        <v>12755.6811</v>
      </c>
    </row>
    <row r="123" spans="2:6" x14ac:dyDescent="0.25">
      <c r="B123" s="2">
        <v>8.2000000000000003E-2</v>
      </c>
      <c r="D123" s="4"/>
      <c r="E123" s="11">
        <f t="shared" si="2"/>
        <v>13867.289000000001</v>
      </c>
      <c r="F123" s="11">
        <f t="shared" si="3"/>
        <v>12752.7142</v>
      </c>
    </row>
    <row r="124" spans="2:6" x14ac:dyDescent="0.25">
      <c r="B124" s="2">
        <v>8.3000000000000004E-2</v>
      </c>
      <c r="D124" s="4"/>
      <c r="E124" s="11">
        <f t="shared" si="2"/>
        <v>13863.853499999999</v>
      </c>
      <c r="F124" s="11">
        <f t="shared" si="3"/>
        <v>12749.747299999999</v>
      </c>
    </row>
    <row r="125" spans="2:6" x14ac:dyDescent="0.25">
      <c r="B125" s="2">
        <v>8.4000000000000005E-2</v>
      </c>
      <c r="D125" s="4"/>
      <c r="E125" s="11">
        <f t="shared" si="2"/>
        <v>13860.418</v>
      </c>
      <c r="F125" s="11">
        <f t="shared" si="3"/>
        <v>12746.7804</v>
      </c>
    </row>
    <row r="126" spans="2:6" x14ac:dyDescent="0.25">
      <c r="B126" s="2">
        <v>8.5000000000000006E-2</v>
      </c>
      <c r="D126" s="4"/>
      <c r="E126" s="11">
        <f t="shared" si="2"/>
        <v>13856.9825</v>
      </c>
      <c r="F126" s="11">
        <f t="shared" si="3"/>
        <v>12743.8135</v>
      </c>
    </row>
    <row r="127" spans="2:6" x14ac:dyDescent="0.25">
      <c r="B127" s="2">
        <v>8.5999999999999993E-2</v>
      </c>
      <c r="D127" s="4"/>
      <c r="E127" s="11">
        <f t="shared" si="2"/>
        <v>13853.547</v>
      </c>
      <c r="F127" s="11">
        <f t="shared" si="3"/>
        <v>12740.846600000001</v>
      </c>
    </row>
    <row r="128" spans="2:6" x14ac:dyDescent="0.25">
      <c r="B128" s="2">
        <v>8.6999999999999994E-2</v>
      </c>
      <c r="D128" s="4"/>
      <c r="E128" s="11">
        <f t="shared" si="2"/>
        <v>13850.111500000001</v>
      </c>
      <c r="F128" s="11">
        <f t="shared" si="3"/>
        <v>12737.8797</v>
      </c>
    </row>
    <row r="129" spans="2:6" x14ac:dyDescent="0.25">
      <c r="B129" s="2">
        <v>8.7999999999999995E-2</v>
      </c>
      <c r="D129" s="4"/>
      <c r="E129" s="11">
        <f t="shared" si="2"/>
        <v>13846.675999999999</v>
      </c>
      <c r="F129" s="11">
        <f t="shared" si="3"/>
        <v>12734.9128</v>
      </c>
    </row>
    <row r="130" spans="2:6" x14ac:dyDescent="0.25">
      <c r="B130" s="2">
        <v>8.8999999999999996E-2</v>
      </c>
      <c r="D130" s="4"/>
      <c r="E130" s="11">
        <f t="shared" si="2"/>
        <v>13843.2405</v>
      </c>
      <c r="F130" s="11">
        <f t="shared" si="3"/>
        <v>12731.945900000001</v>
      </c>
    </row>
    <row r="131" spans="2:6" x14ac:dyDescent="0.25">
      <c r="B131" s="2">
        <v>0.09</v>
      </c>
      <c r="D131" s="4"/>
      <c r="E131" s="11">
        <f t="shared" si="2"/>
        <v>13839.805</v>
      </c>
      <c r="F131" s="11">
        <f t="shared" si="3"/>
        <v>12728.978999999999</v>
      </c>
    </row>
    <row r="132" spans="2:6" x14ac:dyDescent="0.25">
      <c r="B132" s="2">
        <v>9.0999999999999998E-2</v>
      </c>
      <c r="D132" s="4"/>
      <c r="E132" s="11">
        <f t="shared" si="2"/>
        <v>13836.369500000001</v>
      </c>
      <c r="F132" s="11">
        <f t="shared" si="3"/>
        <v>12726.0121</v>
      </c>
    </row>
    <row r="133" spans="2:6" x14ac:dyDescent="0.25">
      <c r="B133" s="2">
        <v>9.1999999999999998E-2</v>
      </c>
      <c r="D133" s="4"/>
      <c r="E133" s="11">
        <f t="shared" si="2"/>
        <v>13832.933999999999</v>
      </c>
      <c r="F133" s="11">
        <f t="shared" si="3"/>
        <v>12723.0452</v>
      </c>
    </row>
    <row r="134" spans="2:6" x14ac:dyDescent="0.25">
      <c r="B134" s="2">
        <v>9.2999999999999999E-2</v>
      </c>
      <c r="D134" s="4"/>
      <c r="E134" s="11">
        <f t="shared" si="2"/>
        <v>13829.4985</v>
      </c>
      <c r="F134" s="11">
        <f t="shared" si="3"/>
        <v>12720.078299999999</v>
      </c>
    </row>
    <row r="135" spans="2:6" x14ac:dyDescent="0.25">
      <c r="B135" s="2">
        <v>9.4E-2</v>
      </c>
      <c r="D135" s="4"/>
      <c r="E135" s="11">
        <f t="shared" si="2"/>
        <v>13826.063</v>
      </c>
      <c r="F135" s="11">
        <f t="shared" si="3"/>
        <v>12717.1114</v>
      </c>
    </row>
    <row r="136" spans="2:6" x14ac:dyDescent="0.25">
      <c r="B136" s="2">
        <v>9.5000000000000001E-2</v>
      </c>
      <c r="D136" s="4"/>
      <c r="E136" s="11">
        <f t="shared" si="2"/>
        <v>13822.627500000001</v>
      </c>
      <c r="F136" s="11">
        <f t="shared" si="3"/>
        <v>12714.1445</v>
      </c>
    </row>
    <row r="137" spans="2:6" x14ac:dyDescent="0.25">
      <c r="B137" s="2">
        <v>9.6000000000000002E-2</v>
      </c>
      <c r="D137" s="4"/>
      <c r="E137" s="11">
        <f t="shared" si="2"/>
        <v>13819.191999999999</v>
      </c>
      <c r="F137" s="11">
        <f t="shared" si="3"/>
        <v>12711.177599999999</v>
      </c>
    </row>
    <row r="138" spans="2:6" x14ac:dyDescent="0.25">
      <c r="B138" s="2">
        <v>9.7000000000000003E-2</v>
      </c>
      <c r="D138" s="4"/>
      <c r="E138" s="11">
        <f t="shared" si="2"/>
        <v>13815.7565</v>
      </c>
      <c r="F138" s="11">
        <f t="shared" si="3"/>
        <v>12708.2107</v>
      </c>
    </row>
    <row r="139" spans="2:6" x14ac:dyDescent="0.25">
      <c r="B139" s="2">
        <v>9.8000000000000004E-2</v>
      </c>
      <c r="D139" s="4"/>
      <c r="E139" s="11">
        <f t="shared" si="2"/>
        <v>13812.321</v>
      </c>
      <c r="F139" s="11">
        <f t="shared" si="3"/>
        <v>12705.2438</v>
      </c>
    </row>
    <row r="140" spans="2:6" x14ac:dyDescent="0.25">
      <c r="B140" s="2">
        <v>9.9000000000000005E-2</v>
      </c>
      <c r="D140" s="4"/>
      <c r="E140" s="11">
        <f t="shared" si="2"/>
        <v>13808.8855</v>
      </c>
      <c r="F140" s="11">
        <f t="shared" si="3"/>
        <v>12702.276900000001</v>
      </c>
    </row>
    <row r="141" spans="2:6" x14ac:dyDescent="0.25">
      <c r="B141" s="2">
        <v>0.1</v>
      </c>
      <c r="D141" s="4"/>
      <c r="E141" s="11">
        <f t="shared" si="2"/>
        <v>13805.45</v>
      </c>
      <c r="F141" s="11">
        <f t="shared" si="3"/>
        <v>12699.31</v>
      </c>
    </row>
    <row r="142" spans="2:6" x14ac:dyDescent="0.25">
      <c r="B142" s="2">
        <v>0.10100000000000001</v>
      </c>
      <c r="D142" s="4"/>
      <c r="E142" s="11">
        <f t="shared" si="2"/>
        <v>13802.014499999999</v>
      </c>
      <c r="F142" s="11">
        <f t="shared" si="3"/>
        <v>12696.3431</v>
      </c>
    </row>
    <row r="143" spans="2:6" x14ac:dyDescent="0.25">
      <c r="B143" s="2">
        <v>0.10199999999999999</v>
      </c>
      <c r="D143" s="4"/>
      <c r="E143" s="11">
        <f t="shared" si="2"/>
        <v>13798.579</v>
      </c>
      <c r="F143" s="11">
        <f t="shared" si="3"/>
        <v>12693.376200000001</v>
      </c>
    </row>
    <row r="144" spans="2:6" x14ac:dyDescent="0.25">
      <c r="B144" s="2">
        <v>0.10299999999999999</v>
      </c>
      <c r="D144" s="4"/>
      <c r="E144" s="11">
        <f t="shared" si="2"/>
        <v>13795.1435</v>
      </c>
      <c r="F144" s="11">
        <f t="shared" si="3"/>
        <v>12690.409299999999</v>
      </c>
    </row>
    <row r="145" spans="2:6" x14ac:dyDescent="0.25">
      <c r="B145" s="2">
        <v>0.104</v>
      </c>
      <c r="D145" s="4"/>
      <c r="E145" s="11">
        <f t="shared" si="2"/>
        <v>13791.708000000001</v>
      </c>
      <c r="F145" s="11">
        <f t="shared" si="3"/>
        <v>12687.4424</v>
      </c>
    </row>
    <row r="146" spans="2:6" x14ac:dyDescent="0.25">
      <c r="B146" s="2">
        <v>0.105</v>
      </c>
      <c r="D146" s="4"/>
      <c r="E146" s="11">
        <f t="shared" si="2"/>
        <v>13788.272499999999</v>
      </c>
      <c r="F146" s="11">
        <f t="shared" si="3"/>
        <v>12684.4755</v>
      </c>
    </row>
    <row r="147" spans="2:6" x14ac:dyDescent="0.25">
      <c r="B147" s="2">
        <v>0.106</v>
      </c>
      <c r="D147" s="4"/>
      <c r="E147" s="11">
        <f t="shared" si="2"/>
        <v>13784.837</v>
      </c>
      <c r="F147" s="11">
        <f t="shared" si="3"/>
        <v>12681.508599999999</v>
      </c>
    </row>
    <row r="148" spans="2:6" x14ac:dyDescent="0.25">
      <c r="B148" s="2">
        <v>0.107</v>
      </c>
      <c r="D148" s="4"/>
      <c r="E148" s="11">
        <f t="shared" si="2"/>
        <v>13781.4015</v>
      </c>
      <c r="F148" s="11">
        <f t="shared" si="3"/>
        <v>12678.5417</v>
      </c>
    </row>
    <row r="149" spans="2:6" x14ac:dyDescent="0.25">
      <c r="B149" s="2">
        <v>0.108</v>
      </c>
      <c r="E149" s="11">
        <f t="shared" si="2"/>
        <v>13777.966</v>
      </c>
      <c r="F149" s="11">
        <f t="shared" si="3"/>
        <v>12675.5748</v>
      </c>
    </row>
    <row r="150" spans="2:6" x14ac:dyDescent="0.25">
      <c r="B150" s="2">
        <v>0.109</v>
      </c>
      <c r="E150" s="11">
        <f t="shared" si="2"/>
        <v>13774.530500000001</v>
      </c>
      <c r="F150" s="11">
        <f t="shared" si="3"/>
        <v>12672.607899999999</v>
      </c>
    </row>
    <row r="151" spans="2:6" x14ac:dyDescent="0.25">
      <c r="B151" s="2">
        <v>0.11</v>
      </c>
      <c r="E151" s="11">
        <f t="shared" si="2"/>
        <v>13771.094999999999</v>
      </c>
      <c r="F151" s="11">
        <f t="shared" si="3"/>
        <v>12669.641</v>
      </c>
    </row>
    <row r="152" spans="2:6" x14ac:dyDescent="0.25">
      <c r="B152" s="2">
        <v>0.111</v>
      </c>
      <c r="E152" s="11">
        <f t="shared" si="2"/>
        <v>13767.6595</v>
      </c>
      <c r="F152" s="11">
        <f t="shared" si="3"/>
        <v>12666.6741</v>
      </c>
    </row>
    <row r="153" spans="2:6" x14ac:dyDescent="0.25">
      <c r="B153" s="2">
        <v>0.112</v>
      </c>
      <c r="E153" s="11">
        <f t="shared" si="2"/>
        <v>13764.224</v>
      </c>
      <c r="F153" s="11">
        <f t="shared" si="3"/>
        <v>12663.707200000001</v>
      </c>
    </row>
    <row r="154" spans="2:6" x14ac:dyDescent="0.25">
      <c r="B154" s="2">
        <v>0.113</v>
      </c>
      <c r="E154" s="11">
        <f t="shared" si="2"/>
        <v>13760.788500000001</v>
      </c>
      <c r="F154" s="11">
        <f t="shared" si="3"/>
        <v>12660.740299999999</v>
      </c>
    </row>
    <row r="155" spans="2:6" x14ac:dyDescent="0.25">
      <c r="B155" s="2">
        <v>0.114</v>
      </c>
      <c r="E155" s="11">
        <f t="shared" si="2"/>
        <v>13757.352999999999</v>
      </c>
      <c r="F155" s="11">
        <f t="shared" si="3"/>
        <v>12657.7734</v>
      </c>
    </row>
    <row r="156" spans="2:6" x14ac:dyDescent="0.25">
      <c r="B156" s="2">
        <v>0.115</v>
      </c>
      <c r="E156" s="11">
        <f t="shared" si="2"/>
        <v>13753.9175</v>
      </c>
      <c r="F156" s="11">
        <f t="shared" si="3"/>
        <v>12654.806500000001</v>
      </c>
    </row>
    <row r="157" spans="2:6" x14ac:dyDescent="0.25">
      <c r="B157" s="2">
        <v>0.11600000000000001</v>
      </c>
      <c r="E157" s="11">
        <f t="shared" si="2"/>
        <v>13750.482</v>
      </c>
      <c r="F157" s="11">
        <f t="shared" si="3"/>
        <v>12651.839599999999</v>
      </c>
    </row>
    <row r="158" spans="2:6" x14ac:dyDescent="0.25">
      <c r="B158" s="2">
        <v>0.11700000000000001</v>
      </c>
      <c r="E158" s="11">
        <f t="shared" si="2"/>
        <v>13747.0465</v>
      </c>
      <c r="F158" s="11">
        <f t="shared" si="3"/>
        <v>12648.8727</v>
      </c>
    </row>
    <row r="159" spans="2:6" x14ac:dyDescent="0.25">
      <c r="B159" s="2">
        <v>0.11799999999999999</v>
      </c>
      <c r="E159" s="11">
        <f t="shared" si="2"/>
        <v>13743.611000000001</v>
      </c>
      <c r="F159" s="11">
        <f t="shared" si="3"/>
        <v>12645.9058</v>
      </c>
    </row>
    <row r="160" spans="2:6" x14ac:dyDescent="0.25">
      <c r="B160" s="2">
        <v>0.11899999999999999</v>
      </c>
      <c r="E160" s="11">
        <f t="shared" si="2"/>
        <v>13740.175499999999</v>
      </c>
      <c r="F160" s="11">
        <f t="shared" si="3"/>
        <v>12642.938899999999</v>
      </c>
    </row>
    <row r="161" spans="2:6" x14ac:dyDescent="0.25">
      <c r="B161" s="2">
        <v>0.12</v>
      </c>
      <c r="E161" s="11">
        <f t="shared" si="2"/>
        <v>13736.74</v>
      </c>
      <c r="F161" s="11">
        <f t="shared" si="3"/>
        <v>12639.972</v>
      </c>
    </row>
    <row r="162" spans="2:6" x14ac:dyDescent="0.25">
      <c r="B162" s="2">
        <v>0.121</v>
      </c>
      <c r="E162" s="11">
        <f t="shared" si="2"/>
        <v>13733.3045</v>
      </c>
      <c r="F162" s="11">
        <f t="shared" si="3"/>
        <v>12637.0051</v>
      </c>
    </row>
    <row r="163" spans="2:6" x14ac:dyDescent="0.25">
      <c r="B163" s="2">
        <v>0.122</v>
      </c>
      <c r="E163" s="11">
        <f t="shared" si="2"/>
        <v>13729.869000000001</v>
      </c>
      <c r="F163" s="11">
        <f t="shared" si="3"/>
        <v>12634.038200000001</v>
      </c>
    </row>
    <row r="164" spans="2:6" x14ac:dyDescent="0.25">
      <c r="B164" s="2">
        <v>0.123</v>
      </c>
      <c r="E164" s="11">
        <f t="shared" si="2"/>
        <v>13726.433499999999</v>
      </c>
      <c r="F164" s="11">
        <f t="shared" si="3"/>
        <v>12631.0713</v>
      </c>
    </row>
    <row r="165" spans="2:6" x14ac:dyDescent="0.25">
      <c r="B165" s="2">
        <v>0.124</v>
      </c>
      <c r="E165" s="11">
        <f t="shared" si="2"/>
        <v>13722.998</v>
      </c>
      <c r="F165" s="11">
        <f t="shared" si="3"/>
        <v>12628.1044</v>
      </c>
    </row>
    <row r="166" spans="2:6" x14ac:dyDescent="0.25">
      <c r="B166" s="2">
        <v>0.125</v>
      </c>
      <c r="E166" s="11">
        <f t="shared" si="2"/>
        <v>13719.5625</v>
      </c>
      <c r="F166" s="11">
        <f t="shared" si="3"/>
        <v>12625.137500000001</v>
      </c>
    </row>
    <row r="167" spans="2:6" x14ac:dyDescent="0.25">
      <c r="B167" s="2">
        <v>0.126</v>
      </c>
      <c r="E167" s="11">
        <f t="shared" si="2"/>
        <v>13716.127</v>
      </c>
      <c r="F167" s="11">
        <f t="shared" si="3"/>
        <v>12622.170599999999</v>
      </c>
    </row>
    <row r="168" spans="2:6" x14ac:dyDescent="0.25">
      <c r="B168" s="2">
        <v>0.127</v>
      </c>
      <c r="E168" s="11">
        <f t="shared" si="2"/>
        <v>13712.691500000001</v>
      </c>
      <c r="F168" s="11">
        <f t="shared" si="3"/>
        <v>12619.2037</v>
      </c>
    </row>
    <row r="169" spans="2:6" x14ac:dyDescent="0.25">
      <c r="B169" s="2">
        <v>0.128</v>
      </c>
      <c r="E169" s="11">
        <f t="shared" si="2"/>
        <v>13709.255999999999</v>
      </c>
      <c r="F169" s="11">
        <f t="shared" si="3"/>
        <v>12616.236800000001</v>
      </c>
    </row>
    <row r="170" spans="2:6" x14ac:dyDescent="0.25">
      <c r="B170" s="2">
        <v>0.129</v>
      </c>
      <c r="E170" s="11">
        <f t="shared" ref="E170:E233" si="4">-3435.5*B170 + 14149</f>
        <v>13705.8205</v>
      </c>
      <c r="F170" s="11">
        <f t="shared" ref="F170:F233" si="5" xml:space="preserve"> -2966.9*B170 + 12996</f>
        <v>12613.269899999999</v>
      </c>
    </row>
    <row r="171" spans="2:6" x14ac:dyDescent="0.25">
      <c r="B171" s="2">
        <v>0.13</v>
      </c>
      <c r="E171" s="11">
        <f t="shared" si="4"/>
        <v>13702.385</v>
      </c>
      <c r="F171" s="11">
        <f t="shared" si="5"/>
        <v>12610.303</v>
      </c>
    </row>
    <row r="172" spans="2:6" x14ac:dyDescent="0.25">
      <c r="B172" s="2">
        <v>0.13100000000000001</v>
      </c>
      <c r="E172" s="11">
        <f t="shared" si="4"/>
        <v>13698.949500000001</v>
      </c>
      <c r="F172" s="11">
        <f t="shared" si="5"/>
        <v>12607.3361</v>
      </c>
    </row>
    <row r="173" spans="2:6" x14ac:dyDescent="0.25">
      <c r="B173" s="2">
        <v>0.13200000000000001</v>
      </c>
      <c r="E173" s="11">
        <f t="shared" si="4"/>
        <v>13695.513999999999</v>
      </c>
      <c r="F173" s="11">
        <f t="shared" si="5"/>
        <v>12604.369199999999</v>
      </c>
    </row>
    <row r="174" spans="2:6" x14ac:dyDescent="0.25">
      <c r="B174" s="2">
        <v>0.13300000000000001</v>
      </c>
      <c r="E174" s="11">
        <f t="shared" si="4"/>
        <v>13692.0785</v>
      </c>
      <c r="F174" s="11">
        <f t="shared" si="5"/>
        <v>12601.4023</v>
      </c>
    </row>
    <row r="175" spans="2:6" x14ac:dyDescent="0.25">
      <c r="B175" s="2">
        <v>0.13400000000000001</v>
      </c>
      <c r="E175" s="11">
        <f t="shared" si="4"/>
        <v>13688.643</v>
      </c>
      <c r="F175" s="11">
        <f t="shared" si="5"/>
        <v>12598.4354</v>
      </c>
    </row>
    <row r="176" spans="2:6" x14ac:dyDescent="0.25">
      <c r="B176" s="2">
        <v>0.13500000000000001</v>
      </c>
      <c r="E176" s="11">
        <f t="shared" si="4"/>
        <v>13685.2075</v>
      </c>
      <c r="F176" s="11">
        <f t="shared" si="5"/>
        <v>12595.468499999999</v>
      </c>
    </row>
    <row r="177" spans="2:6" x14ac:dyDescent="0.25">
      <c r="B177" s="2">
        <v>0.13600000000000001</v>
      </c>
      <c r="E177" s="11">
        <f t="shared" si="4"/>
        <v>13681.772000000001</v>
      </c>
      <c r="F177" s="11">
        <f t="shared" si="5"/>
        <v>12592.5016</v>
      </c>
    </row>
    <row r="178" spans="2:6" x14ac:dyDescent="0.25">
      <c r="B178" s="2">
        <v>0.13700000000000001</v>
      </c>
      <c r="E178" s="11">
        <f t="shared" si="4"/>
        <v>13678.336499999999</v>
      </c>
      <c r="F178" s="11">
        <f t="shared" si="5"/>
        <v>12589.5347</v>
      </c>
    </row>
    <row r="179" spans="2:6" x14ac:dyDescent="0.25">
      <c r="B179" s="2">
        <v>0.13800000000000001</v>
      </c>
      <c r="E179" s="11">
        <f t="shared" si="4"/>
        <v>13674.901</v>
      </c>
      <c r="F179" s="11">
        <f t="shared" si="5"/>
        <v>12586.567800000001</v>
      </c>
    </row>
    <row r="180" spans="2:6" x14ac:dyDescent="0.25">
      <c r="B180" s="2">
        <v>0.13900000000000001</v>
      </c>
      <c r="E180" s="11">
        <f t="shared" si="4"/>
        <v>13671.4655</v>
      </c>
      <c r="F180" s="11">
        <f t="shared" si="5"/>
        <v>12583.600899999999</v>
      </c>
    </row>
    <row r="181" spans="2:6" x14ac:dyDescent="0.25">
      <c r="B181" s="2">
        <v>0.14000000000000001</v>
      </c>
      <c r="E181" s="11">
        <f t="shared" si="4"/>
        <v>13668.03</v>
      </c>
      <c r="F181" s="11">
        <f t="shared" si="5"/>
        <v>12580.634</v>
      </c>
    </row>
    <row r="182" spans="2:6" x14ac:dyDescent="0.25">
      <c r="B182" s="2">
        <v>0.14099999999999999</v>
      </c>
      <c r="E182" s="11">
        <f t="shared" si="4"/>
        <v>13664.594499999999</v>
      </c>
      <c r="F182" s="11">
        <f t="shared" si="5"/>
        <v>12577.667100000001</v>
      </c>
    </row>
    <row r="183" spans="2:6" x14ac:dyDescent="0.25">
      <c r="B183" s="2">
        <v>0.14199999999999999</v>
      </c>
      <c r="E183" s="11">
        <f t="shared" si="4"/>
        <v>13661.159</v>
      </c>
      <c r="F183" s="11">
        <f t="shared" si="5"/>
        <v>12574.700199999999</v>
      </c>
    </row>
    <row r="184" spans="2:6" x14ac:dyDescent="0.25">
      <c r="B184" s="2">
        <v>0.14299999999999999</v>
      </c>
      <c r="E184" s="11">
        <f t="shared" si="4"/>
        <v>13657.7235</v>
      </c>
      <c r="F184" s="11">
        <f t="shared" si="5"/>
        <v>12571.7333</v>
      </c>
    </row>
    <row r="185" spans="2:6" x14ac:dyDescent="0.25">
      <c r="B185" s="2">
        <v>0.14399999999999999</v>
      </c>
      <c r="E185" s="11">
        <f t="shared" si="4"/>
        <v>13654.288</v>
      </c>
      <c r="F185" s="11">
        <f t="shared" si="5"/>
        <v>12568.7664</v>
      </c>
    </row>
    <row r="186" spans="2:6" x14ac:dyDescent="0.25">
      <c r="B186" s="2">
        <v>0.14499999999999999</v>
      </c>
      <c r="E186" s="11">
        <f t="shared" si="4"/>
        <v>13650.852500000001</v>
      </c>
      <c r="F186" s="11">
        <f t="shared" si="5"/>
        <v>12565.799499999999</v>
      </c>
    </row>
    <row r="187" spans="2:6" x14ac:dyDescent="0.25">
      <c r="B187" s="2">
        <v>0.14599999999999999</v>
      </c>
      <c r="E187" s="11">
        <f t="shared" si="4"/>
        <v>13647.416999999999</v>
      </c>
      <c r="F187" s="11">
        <f t="shared" si="5"/>
        <v>12562.8326</v>
      </c>
    </row>
    <row r="188" spans="2:6" x14ac:dyDescent="0.25">
      <c r="B188" s="2">
        <v>0.14699999999999999</v>
      </c>
      <c r="E188" s="11">
        <f t="shared" si="4"/>
        <v>13643.9815</v>
      </c>
      <c r="F188" s="11">
        <f t="shared" si="5"/>
        <v>12559.8657</v>
      </c>
    </row>
    <row r="189" spans="2:6" x14ac:dyDescent="0.25">
      <c r="B189" s="2">
        <v>0.14799999999999999</v>
      </c>
      <c r="E189" s="11">
        <f t="shared" si="4"/>
        <v>13640.546</v>
      </c>
      <c r="F189" s="11">
        <f t="shared" si="5"/>
        <v>12556.898800000001</v>
      </c>
    </row>
    <row r="190" spans="2:6" x14ac:dyDescent="0.25">
      <c r="B190" s="2">
        <v>0.14899999999999999</v>
      </c>
      <c r="E190" s="11">
        <f t="shared" si="4"/>
        <v>13637.110500000001</v>
      </c>
      <c r="F190" s="11">
        <f t="shared" si="5"/>
        <v>12553.9319</v>
      </c>
    </row>
    <row r="191" spans="2:6" x14ac:dyDescent="0.25">
      <c r="B191" s="2">
        <v>0.15</v>
      </c>
      <c r="E191" s="11">
        <f t="shared" si="4"/>
        <v>13633.674999999999</v>
      </c>
      <c r="F191" s="11">
        <f t="shared" si="5"/>
        <v>12550.965</v>
      </c>
    </row>
    <row r="192" spans="2:6" x14ac:dyDescent="0.25">
      <c r="B192" s="2">
        <v>0.151</v>
      </c>
      <c r="E192" s="11">
        <f t="shared" si="4"/>
        <v>13630.2395</v>
      </c>
      <c r="F192" s="11">
        <f t="shared" si="5"/>
        <v>12547.998100000001</v>
      </c>
    </row>
    <row r="193" spans="2:6" x14ac:dyDescent="0.25">
      <c r="B193" s="2">
        <v>0.152</v>
      </c>
      <c r="E193" s="11">
        <f t="shared" si="4"/>
        <v>13626.804</v>
      </c>
      <c r="F193" s="11">
        <f t="shared" si="5"/>
        <v>12545.031199999999</v>
      </c>
    </row>
    <row r="194" spans="2:6" x14ac:dyDescent="0.25">
      <c r="B194" s="2">
        <v>0.153</v>
      </c>
      <c r="E194" s="11">
        <f t="shared" si="4"/>
        <v>13623.3685</v>
      </c>
      <c r="F194" s="11">
        <f t="shared" si="5"/>
        <v>12542.0643</v>
      </c>
    </row>
    <row r="195" spans="2:6" x14ac:dyDescent="0.25">
      <c r="B195" s="2">
        <v>0.154</v>
      </c>
      <c r="E195" s="11">
        <f t="shared" si="4"/>
        <v>13619.933000000001</v>
      </c>
      <c r="F195" s="11">
        <f t="shared" si="5"/>
        <v>12539.097400000001</v>
      </c>
    </row>
    <row r="196" spans="2:6" x14ac:dyDescent="0.25">
      <c r="B196" s="2">
        <v>0.155</v>
      </c>
      <c r="E196" s="11">
        <f t="shared" si="4"/>
        <v>13616.497499999999</v>
      </c>
      <c r="F196" s="11">
        <f t="shared" si="5"/>
        <v>12536.130499999999</v>
      </c>
    </row>
    <row r="197" spans="2:6" x14ac:dyDescent="0.25">
      <c r="B197" s="2">
        <v>0.156</v>
      </c>
      <c r="E197" s="11">
        <f t="shared" si="4"/>
        <v>13613.062</v>
      </c>
      <c r="F197" s="11">
        <f t="shared" si="5"/>
        <v>12533.1636</v>
      </c>
    </row>
    <row r="198" spans="2:6" x14ac:dyDescent="0.25">
      <c r="B198" s="2">
        <v>0.157</v>
      </c>
      <c r="E198" s="11">
        <f t="shared" si="4"/>
        <v>13609.6265</v>
      </c>
      <c r="F198" s="11">
        <f t="shared" si="5"/>
        <v>12530.1967</v>
      </c>
    </row>
    <row r="199" spans="2:6" x14ac:dyDescent="0.25">
      <c r="B199" s="2">
        <v>0.158</v>
      </c>
      <c r="E199" s="11">
        <f t="shared" si="4"/>
        <v>13606.191000000001</v>
      </c>
      <c r="F199" s="11">
        <f t="shared" si="5"/>
        <v>12527.229799999999</v>
      </c>
    </row>
    <row r="200" spans="2:6" x14ac:dyDescent="0.25">
      <c r="B200" s="2">
        <v>0.159</v>
      </c>
      <c r="E200" s="11">
        <f t="shared" si="4"/>
        <v>13602.755499999999</v>
      </c>
      <c r="F200" s="11">
        <f t="shared" si="5"/>
        <v>12524.2629</v>
      </c>
    </row>
    <row r="201" spans="2:6" x14ac:dyDescent="0.25">
      <c r="B201" s="2">
        <v>0.16</v>
      </c>
      <c r="E201" s="11">
        <f t="shared" si="4"/>
        <v>13599.32</v>
      </c>
      <c r="F201" s="11">
        <f t="shared" si="5"/>
        <v>12521.296</v>
      </c>
    </row>
    <row r="202" spans="2:6" x14ac:dyDescent="0.25">
      <c r="B202" s="2">
        <v>0.161</v>
      </c>
      <c r="E202" s="11">
        <f t="shared" si="4"/>
        <v>13595.8845</v>
      </c>
      <c r="F202" s="11">
        <f t="shared" si="5"/>
        <v>12518.329100000001</v>
      </c>
    </row>
    <row r="203" spans="2:6" x14ac:dyDescent="0.25">
      <c r="B203" s="2">
        <v>0.16200000000000001</v>
      </c>
      <c r="E203" s="11">
        <f t="shared" si="4"/>
        <v>13592.449000000001</v>
      </c>
      <c r="F203" s="11">
        <f t="shared" si="5"/>
        <v>12515.3622</v>
      </c>
    </row>
    <row r="204" spans="2:6" x14ac:dyDescent="0.25">
      <c r="B204" s="2">
        <v>0.16300000000000001</v>
      </c>
      <c r="E204" s="11">
        <f t="shared" si="4"/>
        <v>13589.013500000001</v>
      </c>
      <c r="F204" s="11">
        <f t="shared" si="5"/>
        <v>12512.3953</v>
      </c>
    </row>
    <row r="205" spans="2:6" x14ac:dyDescent="0.25">
      <c r="B205" s="2">
        <v>0.16400000000000001</v>
      </c>
      <c r="E205" s="11">
        <f t="shared" si="4"/>
        <v>13585.578</v>
      </c>
      <c r="F205" s="11">
        <f t="shared" si="5"/>
        <v>12509.428400000001</v>
      </c>
    </row>
    <row r="206" spans="2:6" x14ac:dyDescent="0.25">
      <c r="B206" s="2">
        <v>0.16500000000000001</v>
      </c>
      <c r="E206" s="11">
        <f t="shared" si="4"/>
        <v>13582.1425</v>
      </c>
      <c r="F206" s="11">
        <f t="shared" si="5"/>
        <v>12506.461499999999</v>
      </c>
    </row>
    <row r="207" spans="2:6" x14ac:dyDescent="0.25">
      <c r="B207" s="2">
        <v>0.16600000000000001</v>
      </c>
      <c r="E207" s="11">
        <f t="shared" si="4"/>
        <v>13578.707</v>
      </c>
      <c r="F207" s="11">
        <f t="shared" si="5"/>
        <v>12503.4946</v>
      </c>
    </row>
    <row r="208" spans="2:6" x14ac:dyDescent="0.25">
      <c r="B208" s="2">
        <v>0.16700000000000001</v>
      </c>
      <c r="E208" s="11">
        <f t="shared" si="4"/>
        <v>13575.271500000001</v>
      </c>
      <c r="F208" s="11">
        <f t="shared" si="5"/>
        <v>12500.527700000001</v>
      </c>
    </row>
    <row r="209" spans="2:6" x14ac:dyDescent="0.25">
      <c r="B209" s="2">
        <v>0.16800000000000001</v>
      </c>
      <c r="E209" s="11">
        <f t="shared" si="4"/>
        <v>13571.835999999999</v>
      </c>
      <c r="F209" s="11">
        <f t="shared" si="5"/>
        <v>12497.560799999999</v>
      </c>
    </row>
    <row r="210" spans="2:6" x14ac:dyDescent="0.25">
      <c r="B210" s="2">
        <v>0.16900000000000001</v>
      </c>
      <c r="E210" s="11">
        <f t="shared" si="4"/>
        <v>13568.4005</v>
      </c>
      <c r="F210" s="11">
        <f t="shared" si="5"/>
        <v>12494.5939</v>
      </c>
    </row>
    <row r="211" spans="2:6" x14ac:dyDescent="0.25">
      <c r="B211" s="2">
        <v>0.17</v>
      </c>
      <c r="E211" s="11">
        <f t="shared" si="4"/>
        <v>13564.965</v>
      </c>
      <c r="F211" s="11">
        <f t="shared" si="5"/>
        <v>12491.627</v>
      </c>
    </row>
    <row r="212" spans="2:6" x14ac:dyDescent="0.25">
      <c r="B212" s="2">
        <v>0.17100000000000001</v>
      </c>
      <c r="E212" s="11">
        <f t="shared" si="4"/>
        <v>13561.529500000001</v>
      </c>
      <c r="F212" s="11">
        <f t="shared" si="5"/>
        <v>12488.660099999999</v>
      </c>
    </row>
    <row r="213" spans="2:6" x14ac:dyDescent="0.25">
      <c r="B213" s="2">
        <v>0.17199999999999999</v>
      </c>
      <c r="E213" s="11">
        <f t="shared" si="4"/>
        <v>13558.094000000001</v>
      </c>
      <c r="F213" s="11">
        <f t="shared" si="5"/>
        <v>12485.6932</v>
      </c>
    </row>
    <row r="214" spans="2:6" x14ac:dyDescent="0.25">
      <c r="B214" s="2">
        <v>0.17299999999999999</v>
      </c>
      <c r="E214" s="11">
        <f t="shared" si="4"/>
        <v>13554.6585</v>
      </c>
      <c r="F214" s="11">
        <f t="shared" si="5"/>
        <v>12482.7263</v>
      </c>
    </row>
    <row r="215" spans="2:6" x14ac:dyDescent="0.25">
      <c r="B215" s="2">
        <v>0.17399999999999999</v>
      </c>
      <c r="E215" s="11">
        <f t="shared" si="4"/>
        <v>13551.223</v>
      </c>
      <c r="F215" s="11">
        <f t="shared" si="5"/>
        <v>12479.759400000001</v>
      </c>
    </row>
    <row r="216" spans="2:6" x14ac:dyDescent="0.25">
      <c r="B216" s="2">
        <v>0.17499999999999999</v>
      </c>
      <c r="E216" s="11">
        <f t="shared" si="4"/>
        <v>13547.7875</v>
      </c>
      <c r="F216" s="11">
        <f t="shared" si="5"/>
        <v>12476.7925</v>
      </c>
    </row>
    <row r="217" spans="2:6" x14ac:dyDescent="0.25">
      <c r="B217" s="2">
        <v>0.17599999999999999</v>
      </c>
      <c r="E217" s="11">
        <f t="shared" si="4"/>
        <v>13544.352000000001</v>
      </c>
      <c r="F217" s="11">
        <f t="shared" si="5"/>
        <v>12473.8256</v>
      </c>
    </row>
    <row r="218" spans="2:6" x14ac:dyDescent="0.25">
      <c r="B218" s="2">
        <v>0.17699999999999999</v>
      </c>
      <c r="E218" s="11">
        <f t="shared" si="4"/>
        <v>13540.916499999999</v>
      </c>
      <c r="F218" s="11">
        <f t="shared" si="5"/>
        <v>12470.858700000001</v>
      </c>
    </row>
    <row r="219" spans="2:6" x14ac:dyDescent="0.25">
      <c r="B219" s="2">
        <v>0.17799999999999999</v>
      </c>
      <c r="E219" s="11">
        <f t="shared" si="4"/>
        <v>13537.481</v>
      </c>
      <c r="F219" s="11">
        <f t="shared" si="5"/>
        <v>12467.891799999999</v>
      </c>
    </row>
    <row r="220" spans="2:6" x14ac:dyDescent="0.25">
      <c r="B220" s="2">
        <v>0.17899999999999999</v>
      </c>
      <c r="E220" s="11">
        <f t="shared" si="4"/>
        <v>13534.0455</v>
      </c>
      <c r="F220" s="11">
        <f t="shared" si="5"/>
        <v>12464.9249</v>
      </c>
    </row>
    <row r="221" spans="2:6" x14ac:dyDescent="0.25">
      <c r="B221" s="2">
        <v>0.18</v>
      </c>
      <c r="E221" s="11">
        <f t="shared" si="4"/>
        <v>13530.61</v>
      </c>
      <c r="F221" s="11">
        <f t="shared" si="5"/>
        <v>12461.958000000001</v>
      </c>
    </row>
    <row r="222" spans="2:6" x14ac:dyDescent="0.25">
      <c r="B222" s="2">
        <v>0.18099999999999999</v>
      </c>
      <c r="E222" s="11">
        <f t="shared" si="4"/>
        <v>13527.174499999999</v>
      </c>
      <c r="F222" s="11">
        <f t="shared" si="5"/>
        <v>12458.991099999999</v>
      </c>
    </row>
    <row r="223" spans="2:6" x14ac:dyDescent="0.25">
      <c r="B223" s="2">
        <v>0.182</v>
      </c>
      <c r="E223" s="11">
        <f t="shared" si="4"/>
        <v>13523.739</v>
      </c>
      <c r="F223" s="11">
        <f t="shared" si="5"/>
        <v>12456.0242</v>
      </c>
    </row>
    <row r="224" spans="2:6" x14ac:dyDescent="0.25">
      <c r="B224" s="2">
        <v>0.183</v>
      </c>
      <c r="E224" s="11">
        <f t="shared" si="4"/>
        <v>13520.3035</v>
      </c>
      <c r="F224" s="11">
        <f t="shared" si="5"/>
        <v>12453.0573</v>
      </c>
    </row>
    <row r="225" spans="2:6" x14ac:dyDescent="0.25">
      <c r="B225" s="2">
        <v>0.184</v>
      </c>
      <c r="E225" s="11">
        <f t="shared" si="4"/>
        <v>13516.868</v>
      </c>
      <c r="F225" s="11">
        <f t="shared" si="5"/>
        <v>12450.090400000001</v>
      </c>
    </row>
    <row r="226" spans="2:6" x14ac:dyDescent="0.25">
      <c r="B226" s="2">
        <v>0.185</v>
      </c>
      <c r="E226" s="11">
        <f t="shared" si="4"/>
        <v>13513.432500000001</v>
      </c>
      <c r="F226" s="11">
        <f t="shared" si="5"/>
        <v>12447.1235</v>
      </c>
    </row>
    <row r="227" spans="2:6" x14ac:dyDescent="0.25">
      <c r="B227" s="2">
        <v>0.186</v>
      </c>
      <c r="E227" s="11">
        <f t="shared" si="4"/>
        <v>13509.996999999999</v>
      </c>
      <c r="F227" s="11">
        <f t="shared" si="5"/>
        <v>12444.1566</v>
      </c>
    </row>
    <row r="228" spans="2:6" x14ac:dyDescent="0.25">
      <c r="B228" s="2">
        <v>0.187</v>
      </c>
      <c r="E228" s="11">
        <f t="shared" si="4"/>
        <v>13506.5615</v>
      </c>
      <c r="F228" s="11">
        <f t="shared" si="5"/>
        <v>12441.189700000001</v>
      </c>
    </row>
    <row r="229" spans="2:6" x14ac:dyDescent="0.25">
      <c r="B229" s="2">
        <v>0.188</v>
      </c>
      <c r="E229" s="11">
        <f t="shared" si="4"/>
        <v>13503.126</v>
      </c>
      <c r="F229" s="11">
        <f t="shared" si="5"/>
        <v>12438.2228</v>
      </c>
    </row>
    <row r="230" spans="2:6" x14ac:dyDescent="0.25">
      <c r="B230" s="2">
        <v>0.189</v>
      </c>
      <c r="E230" s="11">
        <f t="shared" si="4"/>
        <v>13499.690500000001</v>
      </c>
      <c r="F230" s="11">
        <f t="shared" si="5"/>
        <v>12435.2559</v>
      </c>
    </row>
    <row r="231" spans="2:6" x14ac:dyDescent="0.25">
      <c r="B231" s="2">
        <v>0.19</v>
      </c>
      <c r="E231" s="11">
        <f t="shared" si="4"/>
        <v>13496.254999999999</v>
      </c>
      <c r="F231" s="11">
        <f t="shared" si="5"/>
        <v>12432.289000000001</v>
      </c>
    </row>
    <row r="232" spans="2:6" x14ac:dyDescent="0.25">
      <c r="B232" s="2">
        <v>0.191</v>
      </c>
      <c r="E232" s="11">
        <f t="shared" si="4"/>
        <v>13492.8195</v>
      </c>
      <c r="F232" s="11">
        <f t="shared" si="5"/>
        <v>12429.322099999999</v>
      </c>
    </row>
    <row r="233" spans="2:6" x14ac:dyDescent="0.25">
      <c r="B233" s="2">
        <v>0.192</v>
      </c>
      <c r="E233" s="11">
        <f t="shared" si="4"/>
        <v>13489.384</v>
      </c>
      <c r="F233" s="11">
        <f t="shared" si="5"/>
        <v>12426.3552</v>
      </c>
    </row>
    <row r="234" spans="2:6" x14ac:dyDescent="0.25">
      <c r="B234" s="2">
        <v>0.193</v>
      </c>
      <c r="E234" s="11">
        <f t="shared" ref="E234:E297" si="6">-3435.5*B234 + 14149</f>
        <v>13485.9485</v>
      </c>
      <c r="F234" s="11">
        <f t="shared" ref="F234:F297" si="7" xml:space="preserve"> -2966.9*B234 + 12996</f>
        <v>12423.388300000001</v>
      </c>
    </row>
    <row r="235" spans="2:6" x14ac:dyDescent="0.25">
      <c r="B235" s="2">
        <v>0.19400000000000001</v>
      </c>
      <c r="E235" s="11">
        <f t="shared" si="6"/>
        <v>13482.513000000001</v>
      </c>
      <c r="F235" s="11">
        <f t="shared" si="7"/>
        <v>12420.421399999999</v>
      </c>
    </row>
    <row r="236" spans="2:6" x14ac:dyDescent="0.25">
      <c r="B236" s="2">
        <v>0.19500000000000001</v>
      </c>
      <c r="E236" s="11">
        <f t="shared" si="6"/>
        <v>13479.077499999999</v>
      </c>
      <c r="F236" s="11">
        <f t="shared" si="7"/>
        <v>12417.4545</v>
      </c>
    </row>
    <row r="237" spans="2:6" x14ac:dyDescent="0.25">
      <c r="B237" s="2">
        <v>0.19600000000000001</v>
      </c>
      <c r="E237" s="11">
        <f t="shared" si="6"/>
        <v>13475.642</v>
      </c>
      <c r="F237" s="11">
        <f t="shared" si="7"/>
        <v>12414.4876</v>
      </c>
    </row>
    <row r="238" spans="2:6" x14ac:dyDescent="0.25">
      <c r="B238" s="2">
        <v>0.19700000000000001</v>
      </c>
      <c r="E238" s="11">
        <f t="shared" si="6"/>
        <v>13472.2065</v>
      </c>
      <c r="F238" s="11">
        <f t="shared" si="7"/>
        <v>12411.520699999999</v>
      </c>
    </row>
    <row r="239" spans="2:6" x14ac:dyDescent="0.25">
      <c r="B239" s="2">
        <v>0.19800000000000001</v>
      </c>
      <c r="E239" s="11">
        <f t="shared" si="6"/>
        <v>13468.771000000001</v>
      </c>
      <c r="F239" s="11">
        <f t="shared" si="7"/>
        <v>12408.5538</v>
      </c>
    </row>
    <row r="240" spans="2:6" x14ac:dyDescent="0.25">
      <c r="B240" s="2">
        <v>0.19900000000000001</v>
      </c>
      <c r="E240" s="11">
        <f t="shared" si="6"/>
        <v>13465.335499999999</v>
      </c>
      <c r="F240" s="11">
        <f t="shared" si="7"/>
        <v>12405.5869</v>
      </c>
    </row>
    <row r="241" spans="2:6" x14ac:dyDescent="0.25">
      <c r="B241" s="2">
        <v>0.2</v>
      </c>
      <c r="E241" s="11">
        <f t="shared" si="6"/>
        <v>13461.9</v>
      </c>
      <c r="F241" s="11">
        <f t="shared" si="7"/>
        <v>12402.62</v>
      </c>
    </row>
    <row r="242" spans="2:6" x14ac:dyDescent="0.25">
      <c r="B242" s="2">
        <v>0.20100000000000001</v>
      </c>
      <c r="E242" s="11">
        <f t="shared" si="6"/>
        <v>13458.4645</v>
      </c>
      <c r="F242" s="11">
        <f t="shared" si="7"/>
        <v>12399.6531</v>
      </c>
    </row>
    <row r="243" spans="2:6" x14ac:dyDescent="0.25">
      <c r="B243" s="2">
        <v>0.20200000000000001</v>
      </c>
      <c r="E243" s="11">
        <f t="shared" si="6"/>
        <v>13455.029</v>
      </c>
      <c r="F243" s="11">
        <f t="shared" si="7"/>
        <v>12396.6862</v>
      </c>
    </row>
    <row r="244" spans="2:6" x14ac:dyDescent="0.25">
      <c r="B244" s="2">
        <v>0.20300000000000001</v>
      </c>
      <c r="E244" s="11">
        <f t="shared" si="6"/>
        <v>13451.593499999999</v>
      </c>
      <c r="F244" s="11">
        <f t="shared" si="7"/>
        <v>12393.719300000001</v>
      </c>
    </row>
    <row r="245" spans="2:6" x14ac:dyDescent="0.25">
      <c r="B245" s="2">
        <v>0.20399999999999999</v>
      </c>
      <c r="E245" s="11">
        <f t="shared" si="6"/>
        <v>13448.157999999999</v>
      </c>
      <c r="F245" s="11">
        <f t="shared" si="7"/>
        <v>12390.752399999999</v>
      </c>
    </row>
    <row r="246" spans="2:6" x14ac:dyDescent="0.25">
      <c r="B246" s="2">
        <v>0.20499999999999999</v>
      </c>
      <c r="E246" s="11">
        <f t="shared" si="6"/>
        <v>13444.7225</v>
      </c>
      <c r="F246" s="11">
        <f t="shared" si="7"/>
        <v>12387.7855</v>
      </c>
    </row>
    <row r="247" spans="2:6" x14ac:dyDescent="0.25">
      <c r="B247" s="2">
        <v>0.20599999999999999</v>
      </c>
      <c r="E247" s="11">
        <f t="shared" si="6"/>
        <v>13441.287</v>
      </c>
      <c r="F247" s="11">
        <f t="shared" si="7"/>
        <v>12384.818600000001</v>
      </c>
    </row>
    <row r="248" spans="2:6" x14ac:dyDescent="0.25">
      <c r="B248" s="2">
        <v>0.20699999999999999</v>
      </c>
      <c r="E248" s="11">
        <f t="shared" si="6"/>
        <v>13437.851500000001</v>
      </c>
      <c r="F248" s="11">
        <f t="shared" si="7"/>
        <v>12381.851699999999</v>
      </c>
    </row>
    <row r="249" spans="2:6" x14ac:dyDescent="0.25">
      <c r="B249" s="2">
        <v>0.20799999999999999</v>
      </c>
      <c r="E249" s="11">
        <f t="shared" si="6"/>
        <v>13434.415999999999</v>
      </c>
      <c r="F249" s="11">
        <f t="shared" si="7"/>
        <v>12378.8848</v>
      </c>
    </row>
    <row r="250" spans="2:6" x14ac:dyDescent="0.25">
      <c r="B250" s="2">
        <v>0.20899999999999999</v>
      </c>
      <c r="E250" s="11">
        <f t="shared" si="6"/>
        <v>13430.9805</v>
      </c>
      <c r="F250" s="11">
        <f t="shared" si="7"/>
        <v>12375.9179</v>
      </c>
    </row>
    <row r="251" spans="2:6" x14ac:dyDescent="0.25">
      <c r="B251" s="2">
        <v>0.21</v>
      </c>
      <c r="E251" s="11">
        <f t="shared" si="6"/>
        <v>13427.545</v>
      </c>
      <c r="F251" s="11">
        <f t="shared" si="7"/>
        <v>12372.951000000001</v>
      </c>
    </row>
    <row r="252" spans="2:6" x14ac:dyDescent="0.25">
      <c r="B252" s="2">
        <v>0.21099999999999999</v>
      </c>
      <c r="E252" s="11">
        <f t="shared" si="6"/>
        <v>13424.1095</v>
      </c>
      <c r="F252" s="11">
        <f t="shared" si="7"/>
        <v>12369.9841</v>
      </c>
    </row>
    <row r="253" spans="2:6" x14ac:dyDescent="0.25">
      <c r="B253" s="2">
        <v>0.21199999999999999</v>
      </c>
      <c r="E253" s="11">
        <f t="shared" si="6"/>
        <v>13420.673999999999</v>
      </c>
      <c r="F253" s="11">
        <f t="shared" si="7"/>
        <v>12367.0172</v>
      </c>
    </row>
    <row r="254" spans="2:6" x14ac:dyDescent="0.25">
      <c r="B254" s="2">
        <v>0.21299999999999999</v>
      </c>
      <c r="E254" s="11">
        <f t="shared" si="6"/>
        <v>13417.238499999999</v>
      </c>
      <c r="F254" s="11">
        <f t="shared" si="7"/>
        <v>12364.050300000001</v>
      </c>
    </row>
    <row r="255" spans="2:6" x14ac:dyDescent="0.25">
      <c r="B255" s="2">
        <v>0.214</v>
      </c>
      <c r="E255" s="11">
        <f t="shared" si="6"/>
        <v>13413.803</v>
      </c>
      <c r="F255" s="11">
        <f t="shared" si="7"/>
        <v>12361.0834</v>
      </c>
    </row>
    <row r="256" spans="2:6" x14ac:dyDescent="0.25">
      <c r="B256" s="2">
        <v>0.215</v>
      </c>
      <c r="E256" s="11">
        <f t="shared" si="6"/>
        <v>13410.3675</v>
      </c>
      <c r="F256" s="11">
        <f t="shared" si="7"/>
        <v>12358.1165</v>
      </c>
    </row>
    <row r="257" spans="2:6" x14ac:dyDescent="0.25">
      <c r="B257" s="2">
        <v>0.216</v>
      </c>
      <c r="E257" s="11">
        <f t="shared" si="6"/>
        <v>13406.932000000001</v>
      </c>
      <c r="F257" s="11">
        <f t="shared" si="7"/>
        <v>12355.149600000001</v>
      </c>
    </row>
    <row r="258" spans="2:6" x14ac:dyDescent="0.25">
      <c r="B258" s="2">
        <v>0.217</v>
      </c>
      <c r="E258" s="11">
        <f t="shared" si="6"/>
        <v>13403.496499999999</v>
      </c>
      <c r="F258" s="11">
        <f t="shared" si="7"/>
        <v>12352.182699999999</v>
      </c>
    </row>
    <row r="259" spans="2:6" x14ac:dyDescent="0.25">
      <c r="B259" s="2">
        <v>0.218</v>
      </c>
      <c r="E259" s="11">
        <f t="shared" si="6"/>
        <v>13400.061</v>
      </c>
      <c r="F259" s="11">
        <f t="shared" si="7"/>
        <v>12349.2158</v>
      </c>
    </row>
    <row r="260" spans="2:6" x14ac:dyDescent="0.25">
      <c r="B260" s="2">
        <v>0.219</v>
      </c>
      <c r="E260" s="11">
        <f t="shared" si="6"/>
        <v>13396.6255</v>
      </c>
      <c r="F260" s="11">
        <f t="shared" si="7"/>
        <v>12346.248900000001</v>
      </c>
    </row>
    <row r="261" spans="2:6" x14ac:dyDescent="0.25">
      <c r="B261" s="2">
        <v>0.22</v>
      </c>
      <c r="E261" s="11">
        <f t="shared" si="6"/>
        <v>13393.19</v>
      </c>
      <c r="F261" s="11">
        <f t="shared" si="7"/>
        <v>12343.281999999999</v>
      </c>
    </row>
    <row r="262" spans="2:6" x14ac:dyDescent="0.25">
      <c r="B262" s="2">
        <v>0.221</v>
      </c>
      <c r="E262" s="11">
        <f t="shared" si="6"/>
        <v>13389.754499999999</v>
      </c>
      <c r="F262" s="11">
        <f t="shared" si="7"/>
        <v>12340.3151</v>
      </c>
    </row>
    <row r="263" spans="2:6" x14ac:dyDescent="0.25">
      <c r="B263" s="2">
        <v>0.222</v>
      </c>
      <c r="E263" s="11">
        <f t="shared" si="6"/>
        <v>13386.319</v>
      </c>
      <c r="F263" s="11">
        <f t="shared" si="7"/>
        <v>12337.3482</v>
      </c>
    </row>
    <row r="264" spans="2:6" x14ac:dyDescent="0.25">
      <c r="B264" s="2">
        <v>0.223</v>
      </c>
      <c r="E264" s="11">
        <f t="shared" si="6"/>
        <v>13382.8835</v>
      </c>
      <c r="F264" s="11">
        <f t="shared" si="7"/>
        <v>12334.381300000001</v>
      </c>
    </row>
    <row r="265" spans="2:6" x14ac:dyDescent="0.25">
      <c r="B265" s="2">
        <v>0.224</v>
      </c>
      <c r="E265" s="11">
        <f t="shared" si="6"/>
        <v>13379.448</v>
      </c>
      <c r="F265" s="11">
        <f t="shared" si="7"/>
        <v>12331.4144</v>
      </c>
    </row>
    <row r="266" spans="2:6" x14ac:dyDescent="0.25">
      <c r="B266" s="2">
        <v>0.22500000000000001</v>
      </c>
      <c r="E266" s="11">
        <f t="shared" si="6"/>
        <v>13376.012500000001</v>
      </c>
      <c r="F266" s="11">
        <f t="shared" si="7"/>
        <v>12328.4475</v>
      </c>
    </row>
    <row r="267" spans="2:6" x14ac:dyDescent="0.25">
      <c r="B267" s="2">
        <v>0.22600000000000001</v>
      </c>
      <c r="E267" s="11">
        <f t="shared" si="6"/>
        <v>13372.576999999999</v>
      </c>
      <c r="F267" s="11">
        <f t="shared" si="7"/>
        <v>12325.480600000001</v>
      </c>
    </row>
    <row r="268" spans="2:6" x14ac:dyDescent="0.25">
      <c r="B268" s="2">
        <v>0.22700000000000001</v>
      </c>
      <c r="E268" s="11">
        <f t="shared" si="6"/>
        <v>13369.1415</v>
      </c>
      <c r="F268" s="11">
        <f t="shared" si="7"/>
        <v>12322.5137</v>
      </c>
    </row>
    <row r="269" spans="2:6" x14ac:dyDescent="0.25">
      <c r="B269" s="2">
        <v>0.22800000000000001</v>
      </c>
      <c r="E269" s="11">
        <f t="shared" si="6"/>
        <v>13365.706</v>
      </c>
      <c r="F269" s="11">
        <f t="shared" si="7"/>
        <v>12319.5468</v>
      </c>
    </row>
    <row r="270" spans="2:6" x14ac:dyDescent="0.25">
      <c r="B270" s="2">
        <v>0.22900000000000001</v>
      </c>
      <c r="E270" s="11">
        <f t="shared" si="6"/>
        <v>13362.270500000001</v>
      </c>
      <c r="F270" s="11">
        <f t="shared" si="7"/>
        <v>12316.579900000001</v>
      </c>
    </row>
    <row r="271" spans="2:6" x14ac:dyDescent="0.25">
      <c r="B271" s="2">
        <v>0.23</v>
      </c>
      <c r="E271" s="11">
        <f t="shared" si="6"/>
        <v>13358.834999999999</v>
      </c>
      <c r="F271" s="11">
        <f t="shared" si="7"/>
        <v>12313.612999999999</v>
      </c>
    </row>
    <row r="272" spans="2:6" x14ac:dyDescent="0.25">
      <c r="B272" s="2">
        <v>0.23100000000000001</v>
      </c>
      <c r="E272" s="11">
        <f t="shared" si="6"/>
        <v>13355.3995</v>
      </c>
      <c r="F272" s="11">
        <f t="shared" si="7"/>
        <v>12310.6461</v>
      </c>
    </row>
    <row r="273" spans="2:6" x14ac:dyDescent="0.25">
      <c r="B273" s="2">
        <v>0.23200000000000001</v>
      </c>
      <c r="E273" s="11">
        <f t="shared" si="6"/>
        <v>13351.964</v>
      </c>
      <c r="F273" s="11">
        <f t="shared" si="7"/>
        <v>12307.6792</v>
      </c>
    </row>
    <row r="274" spans="2:6" x14ac:dyDescent="0.25">
      <c r="B274" s="2">
        <v>0.23300000000000001</v>
      </c>
      <c r="E274" s="11">
        <f t="shared" si="6"/>
        <v>13348.5285</v>
      </c>
      <c r="F274" s="11">
        <f t="shared" si="7"/>
        <v>12304.712299999999</v>
      </c>
    </row>
    <row r="275" spans="2:6" x14ac:dyDescent="0.25">
      <c r="B275" s="2">
        <v>0.23400000000000001</v>
      </c>
      <c r="E275" s="11">
        <f t="shared" si="6"/>
        <v>13345.093000000001</v>
      </c>
      <c r="F275" s="11">
        <f t="shared" si="7"/>
        <v>12301.7454</v>
      </c>
    </row>
    <row r="276" spans="2:6" x14ac:dyDescent="0.25">
      <c r="B276" s="2">
        <v>0.23499999999999999</v>
      </c>
      <c r="E276" s="11">
        <f t="shared" si="6"/>
        <v>13341.657499999999</v>
      </c>
      <c r="F276" s="11">
        <f t="shared" si="7"/>
        <v>12298.7785</v>
      </c>
    </row>
    <row r="277" spans="2:6" x14ac:dyDescent="0.25">
      <c r="B277" s="2">
        <v>0.23599999999999999</v>
      </c>
      <c r="E277" s="11">
        <f t="shared" si="6"/>
        <v>13338.222</v>
      </c>
      <c r="F277" s="11">
        <f t="shared" si="7"/>
        <v>12295.811600000001</v>
      </c>
    </row>
    <row r="278" spans="2:6" x14ac:dyDescent="0.25">
      <c r="B278" s="2">
        <v>0.23699999999999999</v>
      </c>
      <c r="E278" s="11">
        <f t="shared" si="6"/>
        <v>13334.7865</v>
      </c>
      <c r="F278" s="11">
        <f t="shared" si="7"/>
        <v>12292.8447</v>
      </c>
    </row>
    <row r="279" spans="2:6" x14ac:dyDescent="0.25">
      <c r="B279" s="2">
        <v>0.23799999999999999</v>
      </c>
      <c r="E279" s="11">
        <f t="shared" si="6"/>
        <v>13331.351000000001</v>
      </c>
      <c r="F279" s="11">
        <f t="shared" si="7"/>
        <v>12289.8778</v>
      </c>
    </row>
    <row r="280" spans="2:6" x14ac:dyDescent="0.25">
      <c r="B280" s="2">
        <v>0.23899999999999999</v>
      </c>
      <c r="E280" s="11">
        <f t="shared" si="6"/>
        <v>13327.915499999999</v>
      </c>
      <c r="F280" s="11">
        <f t="shared" si="7"/>
        <v>12286.910900000001</v>
      </c>
    </row>
    <row r="281" spans="2:6" x14ac:dyDescent="0.25">
      <c r="B281" s="2">
        <v>0.24</v>
      </c>
      <c r="E281" s="11">
        <f t="shared" si="6"/>
        <v>13324.48</v>
      </c>
      <c r="F281" s="11">
        <f t="shared" si="7"/>
        <v>12283.944</v>
      </c>
    </row>
    <row r="282" spans="2:6" x14ac:dyDescent="0.25">
      <c r="B282" s="2">
        <v>0.24099999999999999</v>
      </c>
      <c r="E282" s="11">
        <f t="shared" si="6"/>
        <v>13321.0445</v>
      </c>
      <c r="F282" s="11">
        <f t="shared" si="7"/>
        <v>12280.9771</v>
      </c>
    </row>
    <row r="283" spans="2:6" x14ac:dyDescent="0.25">
      <c r="B283" s="2">
        <v>0.24199999999999999</v>
      </c>
      <c r="E283" s="11">
        <f t="shared" si="6"/>
        <v>13317.609</v>
      </c>
      <c r="F283" s="11">
        <f t="shared" si="7"/>
        <v>12278.010200000001</v>
      </c>
    </row>
    <row r="284" spans="2:6" x14ac:dyDescent="0.25">
      <c r="B284" s="2">
        <v>0.24299999999999999</v>
      </c>
      <c r="E284" s="11">
        <f t="shared" si="6"/>
        <v>13314.173500000001</v>
      </c>
      <c r="F284" s="11">
        <f t="shared" si="7"/>
        <v>12275.043299999999</v>
      </c>
    </row>
    <row r="285" spans="2:6" x14ac:dyDescent="0.25">
      <c r="B285" s="2">
        <v>0.24399999999999999</v>
      </c>
      <c r="E285" s="11">
        <f t="shared" si="6"/>
        <v>13310.737999999999</v>
      </c>
      <c r="F285" s="11">
        <f t="shared" si="7"/>
        <v>12272.0764</v>
      </c>
    </row>
    <row r="286" spans="2:6" x14ac:dyDescent="0.25">
      <c r="B286" s="2">
        <v>0.245</v>
      </c>
      <c r="E286" s="11">
        <f t="shared" si="6"/>
        <v>13307.3025</v>
      </c>
      <c r="F286" s="11">
        <f t="shared" si="7"/>
        <v>12269.1095</v>
      </c>
    </row>
    <row r="287" spans="2:6" x14ac:dyDescent="0.25">
      <c r="B287" s="2">
        <v>0.246</v>
      </c>
      <c r="E287" s="11">
        <f t="shared" si="6"/>
        <v>13303.867</v>
      </c>
      <c r="F287" s="11">
        <f t="shared" si="7"/>
        <v>12266.142599999999</v>
      </c>
    </row>
    <row r="288" spans="2:6" x14ac:dyDescent="0.25">
      <c r="B288" s="2">
        <v>0.247</v>
      </c>
      <c r="E288" s="11">
        <f t="shared" si="6"/>
        <v>13300.431500000001</v>
      </c>
      <c r="F288" s="11">
        <f t="shared" si="7"/>
        <v>12263.1757</v>
      </c>
    </row>
    <row r="289" spans="2:6" x14ac:dyDescent="0.25">
      <c r="B289" s="2">
        <v>0.248</v>
      </c>
      <c r="E289" s="11">
        <f t="shared" si="6"/>
        <v>13296.995999999999</v>
      </c>
      <c r="F289" s="11">
        <f t="shared" si="7"/>
        <v>12260.2088</v>
      </c>
    </row>
    <row r="290" spans="2:6" x14ac:dyDescent="0.25">
      <c r="B290" s="2">
        <v>0.249</v>
      </c>
      <c r="E290" s="11">
        <f t="shared" si="6"/>
        <v>13293.5605</v>
      </c>
      <c r="F290" s="11">
        <f t="shared" si="7"/>
        <v>12257.241900000001</v>
      </c>
    </row>
    <row r="291" spans="2:6" x14ac:dyDescent="0.25">
      <c r="B291" s="2">
        <v>0.25</v>
      </c>
      <c r="E291" s="11">
        <f t="shared" si="6"/>
        <v>13290.125</v>
      </c>
      <c r="F291" s="11">
        <f t="shared" si="7"/>
        <v>12254.275</v>
      </c>
    </row>
    <row r="292" spans="2:6" x14ac:dyDescent="0.25">
      <c r="B292" s="2">
        <v>0.251</v>
      </c>
      <c r="E292" s="11">
        <f t="shared" si="6"/>
        <v>13286.6895</v>
      </c>
      <c r="F292" s="11">
        <f t="shared" si="7"/>
        <v>12251.3081</v>
      </c>
    </row>
    <row r="293" spans="2:6" x14ac:dyDescent="0.25">
      <c r="B293" s="2">
        <v>0.252</v>
      </c>
      <c r="E293" s="11">
        <f t="shared" si="6"/>
        <v>13283.254000000001</v>
      </c>
      <c r="F293" s="11">
        <f t="shared" si="7"/>
        <v>12248.341200000001</v>
      </c>
    </row>
    <row r="294" spans="2:6" x14ac:dyDescent="0.25">
      <c r="B294" s="2">
        <v>0.253</v>
      </c>
      <c r="E294" s="11">
        <f t="shared" si="6"/>
        <v>13279.818499999999</v>
      </c>
      <c r="F294" s="11">
        <f t="shared" si="7"/>
        <v>12245.374299999999</v>
      </c>
    </row>
    <row r="295" spans="2:6" x14ac:dyDescent="0.25">
      <c r="B295" s="2">
        <v>0.254</v>
      </c>
      <c r="E295" s="11">
        <f t="shared" si="6"/>
        <v>13276.383</v>
      </c>
      <c r="F295" s="11">
        <f t="shared" si="7"/>
        <v>12242.4074</v>
      </c>
    </row>
    <row r="296" spans="2:6" x14ac:dyDescent="0.25">
      <c r="B296" s="2">
        <v>0.255</v>
      </c>
      <c r="E296" s="11">
        <f t="shared" si="6"/>
        <v>13272.9475</v>
      </c>
      <c r="F296" s="11">
        <f t="shared" si="7"/>
        <v>12239.440500000001</v>
      </c>
    </row>
    <row r="297" spans="2:6" x14ac:dyDescent="0.25">
      <c r="B297" s="2">
        <v>0.25600000000000001</v>
      </c>
      <c r="E297" s="11">
        <f t="shared" si="6"/>
        <v>13269.512000000001</v>
      </c>
      <c r="F297" s="11">
        <f t="shared" si="7"/>
        <v>12236.473599999999</v>
      </c>
    </row>
    <row r="298" spans="2:6" x14ac:dyDescent="0.25">
      <c r="B298" s="2">
        <v>0.25700000000000001</v>
      </c>
      <c r="E298" s="11">
        <f t="shared" ref="E298:E361" si="8">-3435.5*B298 + 14149</f>
        <v>13266.076499999999</v>
      </c>
      <c r="F298" s="11">
        <f t="shared" ref="F298:F361" si="9" xml:space="preserve"> -2966.9*B298 + 12996</f>
        <v>12233.5067</v>
      </c>
    </row>
    <row r="299" spans="2:6" x14ac:dyDescent="0.25">
      <c r="B299" s="2">
        <v>0.25800000000000001</v>
      </c>
      <c r="E299" s="11">
        <f t="shared" si="8"/>
        <v>13262.641</v>
      </c>
      <c r="F299" s="11">
        <f t="shared" si="9"/>
        <v>12230.5398</v>
      </c>
    </row>
    <row r="300" spans="2:6" x14ac:dyDescent="0.25">
      <c r="B300" s="2">
        <v>0.25900000000000001</v>
      </c>
      <c r="E300" s="11">
        <f t="shared" si="8"/>
        <v>13259.2055</v>
      </c>
      <c r="F300" s="11">
        <f t="shared" si="9"/>
        <v>12227.572899999999</v>
      </c>
    </row>
    <row r="301" spans="2:6" x14ac:dyDescent="0.25">
      <c r="B301" s="2">
        <v>0.26</v>
      </c>
      <c r="E301" s="11">
        <f t="shared" si="8"/>
        <v>13255.77</v>
      </c>
      <c r="F301" s="11">
        <f t="shared" si="9"/>
        <v>12224.606</v>
      </c>
    </row>
    <row r="302" spans="2:6" x14ac:dyDescent="0.25">
      <c r="B302" s="2">
        <v>0.26100000000000001</v>
      </c>
      <c r="E302" s="11">
        <f t="shared" si="8"/>
        <v>13252.334500000001</v>
      </c>
      <c r="F302" s="11">
        <f t="shared" si="9"/>
        <v>12221.6391</v>
      </c>
    </row>
    <row r="303" spans="2:6" x14ac:dyDescent="0.25">
      <c r="B303" s="2">
        <v>0.26200000000000001</v>
      </c>
      <c r="E303" s="11">
        <f t="shared" si="8"/>
        <v>13248.898999999999</v>
      </c>
      <c r="F303" s="11">
        <f t="shared" si="9"/>
        <v>12218.672200000001</v>
      </c>
    </row>
    <row r="304" spans="2:6" x14ac:dyDescent="0.25">
      <c r="B304" s="2">
        <v>0.26300000000000001</v>
      </c>
      <c r="E304" s="11">
        <f t="shared" si="8"/>
        <v>13245.4635</v>
      </c>
      <c r="F304" s="11">
        <f t="shared" si="9"/>
        <v>12215.7053</v>
      </c>
    </row>
    <row r="305" spans="2:6" x14ac:dyDescent="0.25">
      <c r="B305" s="2">
        <v>0.26400000000000001</v>
      </c>
      <c r="E305" s="11">
        <f t="shared" si="8"/>
        <v>13242.028</v>
      </c>
      <c r="F305" s="11">
        <f t="shared" si="9"/>
        <v>12212.7384</v>
      </c>
    </row>
    <row r="306" spans="2:6" x14ac:dyDescent="0.25">
      <c r="B306" s="2">
        <v>0.26500000000000001</v>
      </c>
      <c r="E306" s="11">
        <f t="shared" si="8"/>
        <v>13238.592500000001</v>
      </c>
      <c r="F306" s="11">
        <f t="shared" si="9"/>
        <v>12209.771500000001</v>
      </c>
    </row>
    <row r="307" spans="2:6" x14ac:dyDescent="0.25">
      <c r="B307" s="2">
        <v>0.26600000000000001</v>
      </c>
      <c r="E307" s="11">
        <f t="shared" si="8"/>
        <v>13235.156999999999</v>
      </c>
      <c r="F307" s="11">
        <f t="shared" si="9"/>
        <v>12206.804599999999</v>
      </c>
    </row>
    <row r="308" spans="2:6" x14ac:dyDescent="0.25">
      <c r="B308" s="2">
        <v>0.26700000000000002</v>
      </c>
      <c r="E308" s="11">
        <f t="shared" si="8"/>
        <v>13231.7215</v>
      </c>
      <c r="F308" s="11">
        <f t="shared" si="9"/>
        <v>12203.8377</v>
      </c>
    </row>
    <row r="309" spans="2:6" x14ac:dyDescent="0.25">
      <c r="B309" s="2">
        <v>0.26800000000000002</v>
      </c>
      <c r="E309" s="11">
        <f t="shared" si="8"/>
        <v>13228.286</v>
      </c>
      <c r="F309" s="11">
        <f t="shared" si="9"/>
        <v>12200.870800000001</v>
      </c>
    </row>
    <row r="310" spans="2:6" x14ac:dyDescent="0.25">
      <c r="B310" s="2">
        <v>0.26900000000000002</v>
      </c>
      <c r="E310" s="11">
        <f t="shared" si="8"/>
        <v>13224.8505</v>
      </c>
      <c r="F310" s="11">
        <f t="shared" si="9"/>
        <v>12197.903899999999</v>
      </c>
    </row>
    <row r="311" spans="2:6" x14ac:dyDescent="0.25">
      <c r="B311" s="2">
        <v>0.27</v>
      </c>
      <c r="E311" s="11">
        <f t="shared" si="8"/>
        <v>13221.415000000001</v>
      </c>
      <c r="F311" s="11">
        <f t="shared" si="9"/>
        <v>12194.937</v>
      </c>
    </row>
    <row r="312" spans="2:6" x14ac:dyDescent="0.25">
      <c r="B312" s="2">
        <v>0.27100000000000002</v>
      </c>
      <c r="E312" s="11">
        <f t="shared" si="8"/>
        <v>13217.979499999999</v>
      </c>
      <c r="F312" s="11">
        <f t="shared" si="9"/>
        <v>12191.9701</v>
      </c>
    </row>
    <row r="313" spans="2:6" x14ac:dyDescent="0.25">
      <c r="B313" s="2">
        <v>0.27200000000000002</v>
      </c>
      <c r="E313" s="11">
        <f t="shared" si="8"/>
        <v>13214.544</v>
      </c>
      <c r="F313" s="11">
        <f t="shared" si="9"/>
        <v>12189.003199999999</v>
      </c>
    </row>
    <row r="314" spans="2:6" x14ac:dyDescent="0.25">
      <c r="B314" s="2">
        <v>0.27300000000000002</v>
      </c>
      <c r="E314" s="11">
        <f t="shared" si="8"/>
        <v>13211.1085</v>
      </c>
      <c r="F314" s="11">
        <f t="shared" si="9"/>
        <v>12186.0363</v>
      </c>
    </row>
    <row r="315" spans="2:6" x14ac:dyDescent="0.25">
      <c r="B315" s="2">
        <v>0.27400000000000002</v>
      </c>
      <c r="E315" s="11">
        <f t="shared" si="8"/>
        <v>13207.673000000001</v>
      </c>
      <c r="F315" s="11">
        <f t="shared" si="9"/>
        <v>12183.0694</v>
      </c>
    </row>
    <row r="316" spans="2:6" x14ac:dyDescent="0.25">
      <c r="B316" s="2">
        <v>0.27500000000000002</v>
      </c>
      <c r="E316" s="11">
        <f t="shared" si="8"/>
        <v>13204.237499999999</v>
      </c>
      <c r="F316" s="11">
        <f t="shared" si="9"/>
        <v>12180.102500000001</v>
      </c>
    </row>
    <row r="317" spans="2:6" x14ac:dyDescent="0.25">
      <c r="B317" s="2">
        <v>0.27600000000000002</v>
      </c>
      <c r="E317" s="11">
        <f t="shared" si="8"/>
        <v>13200.802</v>
      </c>
      <c r="F317" s="11">
        <f t="shared" si="9"/>
        <v>12177.1356</v>
      </c>
    </row>
    <row r="318" spans="2:6" x14ac:dyDescent="0.25">
      <c r="B318" s="2">
        <v>0.27700000000000002</v>
      </c>
      <c r="E318" s="11">
        <f t="shared" si="8"/>
        <v>13197.3665</v>
      </c>
      <c r="F318" s="11">
        <f t="shared" si="9"/>
        <v>12174.1687</v>
      </c>
    </row>
    <row r="319" spans="2:6" x14ac:dyDescent="0.25">
      <c r="B319" s="2">
        <v>0.27800000000000002</v>
      </c>
      <c r="E319" s="11">
        <f t="shared" si="8"/>
        <v>13193.931</v>
      </c>
      <c r="F319" s="11">
        <f t="shared" si="9"/>
        <v>12171.201800000001</v>
      </c>
    </row>
    <row r="320" spans="2:6" x14ac:dyDescent="0.25">
      <c r="B320" s="2">
        <v>0.27900000000000003</v>
      </c>
      <c r="E320" s="11">
        <f t="shared" si="8"/>
        <v>13190.495499999999</v>
      </c>
      <c r="F320" s="11">
        <f t="shared" si="9"/>
        <v>12168.234899999999</v>
      </c>
    </row>
    <row r="321" spans="2:6" x14ac:dyDescent="0.25">
      <c r="B321" s="2">
        <v>0.28000000000000003</v>
      </c>
      <c r="E321" s="11">
        <f t="shared" si="8"/>
        <v>13187.06</v>
      </c>
      <c r="F321" s="11">
        <f t="shared" si="9"/>
        <v>12165.268</v>
      </c>
    </row>
    <row r="322" spans="2:6" x14ac:dyDescent="0.25">
      <c r="B322" s="2">
        <v>0.28100000000000003</v>
      </c>
      <c r="E322" s="11">
        <f t="shared" si="8"/>
        <v>13183.6245</v>
      </c>
      <c r="F322" s="11">
        <f t="shared" si="9"/>
        <v>12162.301100000001</v>
      </c>
    </row>
    <row r="323" spans="2:6" x14ac:dyDescent="0.25">
      <c r="B323" s="2">
        <v>0.28199999999999997</v>
      </c>
      <c r="E323" s="11">
        <f t="shared" si="8"/>
        <v>13180.189</v>
      </c>
      <c r="F323" s="11">
        <f t="shared" si="9"/>
        <v>12159.334199999999</v>
      </c>
    </row>
    <row r="324" spans="2:6" x14ac:dyDescent="0.25">
      <c r="B324" s="2">
        <v>0.28299999999999997</v>
      </c>
      <c r="E324" s="11">
        <f t="shared" si="8"/>
        <v>13176.753500000001</v>
      </c>
      <c r="F324" s="11">
        <f t="shared" si="9"/>
        <v>12156.3673</v>
      </c>
    </row>
    <row r="325" spans="2:6" x14ac:dyDescent="0.25">
      <c r="B325" s="2">
        <v>0.28399999999999997</v>
      </c>
      <c r="E325" s="11">
        <f t="shared" si="8"/>
        <v>13173.317999999999</v>
      </c>
      <c r="F325" s="11">
        <f t="shared" si="9"/>
        <v>12153.4004</v>
      </c>
    </row>
    <row r="326" spans="2:6" x14ac:dyDescent="0.25">
      <c r="B326" s="2">
        <v>0.28499999999999998</v>
      </c>
      <c r="E326" s="11">
        <f t="shared" si="8"/>
        <v>13169.8825</v>
      </c>
      <c r="F326" s="11">
        <f t="shared" si="9"/>
        <v>12150.433499999999</v>
      </c>
    </row>
    <row r="327" spans="2:6" x14ac:dyDescent="0.25">
      <c r="B327" s="2">
        <v>0.28599999999999998</v>
      </c>
      <c r="E327" s="11">
        <f t="shared" si="8"/>
        <v>13166.447</v>
      </c>
      <c r="F327" s="11">
        <f t="shared" si="9"/>
        <v>12147.4666</v>
      </c>
    </row>
    <row r="328" spans="2:6" x14ac:dyDescent="0.25">
      <c r="B328" s="2">
        <v>0.28699999999999998</v>
      </c>
      <c r="E328" s="11">
        <f t="shared" si="8"/>
        <v>13163.011500000001</v>
      </c>
      <c r="F328" s="11">
        <f t="shared" si="9"/>
        <v>12144.4997</v>
      </c>
    </row>
    <row r="329" spans="2:6" x14ac:dyDescent="0.25">
      <c r="B329" s="2">
        <v>0.28799999999999998</v>
      </c>
      <c r="E329" s="11">
        <f t="shared" si="8"/>
        <v>13159.576000000001</v>
      </c>
      <c r="F329" s="11">
        <f t="shared" si="9"/>
        <v>12141.532800000001</v>
      </c>
    </row>
    <row r="330" spans="2:6" x14ac:dyDescent="0.25">
      <c r="B330" s="2">
        <v>0.28899999999999998</v>
      </c>
      <c r="E330" s="11">
        <f t="shared" si="8"/>
        <v>13156.1405</v>
      </c>
      <c r="F330" s="11">
        <f t="shared" si="9"/>
        <v>12138.5659</v>
      </c>
    </row>
    <row r="331" spans="2:6" x14ac:dyDescent="0.25">
      <c r="B331" s="2">
        <v>0.28999999999999998</v>
      </c>
      <c r="E331" s="11">
        <f t="shared" si="8"/>
        <v>13152.705</v>
      </c>
      <c r="F331" s="11">
        <f t="shared" si="9"/>
        <v>12135.599</v>
      </c>
    </row>
    <row r="332" spans="2:6" x14ac:dyDescent="0.25">
      <c r="B332" s="2">
        <v>0.29099999999999998</v>
      </c>
      <c r="E332" s="11">
        <f t="shared" si="8"/>
        <v>13149.2695</v>
      </c>
      <c r="F332" s="11">
        <f t="shared" si="9"/>
        <v>12132.632100000001</v>
      </c>
    </row>
    <row r="333" spans="2:6" x14ac:dyDescent="0.25">
      <c r="B333" s="2">
        <v>0.29199999999999998</v>
      </c>
      <c r="E333" s="11">
        <f t="shared" si="8"/>
        <v>13145.834000000001</v>
      </c>
      <c r="F333" s="11">
        <f t="shared" si="9"/>
        <v>12129.665199999999</v>
      </c>
    </row>
    <row r="334" spans="2:6" x14ac:dyDescent="0.25">
      <c r="B334" s="2">
        <v>0.29299999999999998</v>
      </c>
      <c r="E334" s="11">
        <f t="shared" si="8"/>
        <v>13142.398499999999</v>
      </c>
      <c r="F334" s="11">
        <f t="shared" si="9"/>
        <v>12126.6983</v>
      </c>
    </row>
    <row r="335" spans="2:6" x14ac:dyDescent="0.25">
      <c r="B335" s="2">
        <v>0.29399999999999998</v>
      </c>
      <c r="E335" s="11">
        <f t="shared" si="8"/>
        <v>13138.963</v>
      </c>
      <c r="F335" s="11">
        <f t="shared" si="9"/>
        <v>12123.731400000001</v>
      </c>
    </row>
    <row r="336" spans="2:6" x14ac:dyDescent="0.25">
      <c r="B336" s="2">
        <v>0.29499999999999998</v>
      </c>
      <c r="E336" s="11">
        <f t="shared" si="8"/>
        <v>13135.5275</v>
      </c>
      <c r="F336" s="11">
        <f t="shared" si="9"/>
        <v>12120.764499999999</v>
      </c>
    </row>
    <row r="337" spans="2:6" x14ac:dyDescent="0.25">
      <c r="B337" s="2">
        <v>0.29599999999999999</v>
      </c>
      <c r="E337" s="11">
        <f t="shared" si="8"/>
        <v>13132.092000000001</v>
      </c>
      <c r="F337" s="11">
        <f t="shared" si="9"/>
        <v>12117.7976</v>
      </c>
    </row>
    <row r="338" spans="2:6" x14ac:dyDescent="0.25">
      <c r="B338" s="2">
        <v>0.29699999999999999</v>
      </c>
      <c r="E338" s="11">
        <f t="shared" si="8"/>
        <v>13128.656500000001</v>
      </c>
      <c r="F338" s="11">
        <f t="shared" si="9"/>
        <v>12114.8307</v>
      </c>
    </row>
    <row r="339" spans="2:6" x14ac:dyDescent="0.25">
      <c r="B339" s="2">
        <v>0.29799999999999999</v>
      </c>
      <c r="E339" s="11">
        <f t="shared" si="8"/>
        <v>13125.221</v>
      </c>
      <c r="F339" s="11">
        <f t="shared" si="9"/>
        <v>12111.863799999999</v>
      </c>
    </row>
    <row r="340" spans="2:6" x14ac:dyDescent="0.25">
      <c r="B340" s="2">
        <v>0.29899999999999999</v>
      </c>
      <c r="E340" s="11">
        <f t="shared" si="8"/>
        <v>13121.7855</v>
      </c>
      <c r="F340" s="11">
        <f t="shared" si="9"/>
        <v>12108.8969</v>
      </c>
    </row>
    <row r="341" spans="2:6" x14ac:dyDescent="0.25">
      <c r="B341" s="2">
        <v>0.3</v>
      </c>
      <c r="E341" s="11">
        <f t="shared" si="8"/>
        <v>13118.35</v>
      </c>
      <c r="F341" s="11">
        <f t="shared" si="9"/>
        <v>12105.93</v>
      </c>
    </row>
    <row r="342" spans="2:6" x14ac:dyDescent="0.25">
      <c r="B342" s="2">
        <v>0.30099999999999999</v>
      </c>
      <c r="E342" s="11">
        <f t="shared" si="8"/>
        <v>13114.914500000001</v>
      </c>
      <c r="F342" s="11">
        <f t="shared" si="9"/>
        <v>12102.963100000001</v>
      </c>
    </row>
    <row r="343" spans="2:6" x14ac:dyDescent="0.25">
      <c r="B343" s="2">
        <v>0.30199999999999999</v>
      </c>
      <c r="E343" s="11">
        <f t="shared" si="8"/>
        <v>13111.478999999999</v>
      </c>
      <c r="F343" s="11">
        <f t="shared" si="9"/>
        <v>12099.9962</v>
      </c>
    </row>
    <row r="344" spans="2:6" x14ac:dyDescent="0.25">
      <c r="B344" s="2">
        <v>0.30299999999999999</v>
      </c>
      <c r="E344" s="11">
        <f t="shared" si="8"/>
        <v>13108.0435</v>
      </c>
      <c r="F344" s="11">
        <f t="shared" si="9"/>
        <v>12097.0293</v>
      </c>
    </row>
    <row r="345" spans="2:6" x14ac:dyDescent="0.25">
      <c r="B345" s="2">
        <v>0.30399999999999999</v>
      </c>
      <c r="E345" s="11">
        <f t="shared" si="8"/>
        <v>13104.608</v>
      </c>
      <c r="F345" s="11">
        <f t="shared" si="9"/>
        <v>12094.062400000001</v>
      </c>
    </row>
    <row r="346" spans="2:6" x14ac:dyDescent="0.25">
      <c r="B346" s="2">
        <v>0.30499999999999999</v>
      </c>
      <c r="E346" s="11">
        <f t="shared" si="8"/>
        <v>13101.172500000001</v>
      </c>
      <c r="F346" s="11">
        <f t="shared" si="9"/>
        <v>12091.095499999999</v>
      </c>
    </row>
    <row r="347" spans="2:6" x14ac:dyDescent="0.25">
      <c r="B347" s="2">
        <v>0.30599999999999999</v>
      </c>
      <c r="E347" s="11">
        <f t="shared" si="8"/>
        <v>13097.737000000001</v>
      </c>
      <c r="F347" s="11">
        <f t="shared" si="9"/>
        <v>12088.1286</v>
      </c>
    </row>
    <row r="348" spans="2:6" x14ac:dyDescent="0.25">
      <c r="B348" s="2">
        <v>0.307</v>
      </c>
      <c r="E348" s="11">
        <f t="shared" si="8"/>
        <v>13094.3015</v>
      </c>
      <c r="F348" s="11">
        <f t="shared" si="9"/>
        <v>12085.161700000001</v>
      </c>
    </row>
    <row r="349" spans="2:6" x14ac:dyDescent="0.25">
      <c r="B349" s="2">
        <v>0.308</v>
      </c>
      <c r="E349" s="11">
        <f t="shared" si="8"/>
        <v>13090.866</v>
      </c>
      <c r="F349" s="11">
        <f t="shared" si="9"/>
        <v>12082.194799999999</v>
      </c>
    </row>
    <row r="350" spans="2:6" x14ac:dyDescent="0.25">
      <c r="B350" s="2">
        <v>0.309</v>
      </c>
      <c r="E350" s="11">
        <f t="shared" si="8"/>
        <v>13087.4305</v>
      </c>
      <c r="F350" s="11">
        <f t="shared" si="9"/>
        <v>12079.2279</v>
      </c>
    </row>
    <row r="351" spans="2:6" x14ac:dyDescent="0.25">
      <c r="B351" s="2">
        <v>0.31</v>
      </c>
      <c r="E351" s="11">
        <f t="shared" si="8"/>
        <v>13083.995000000001</v>
      </c>
      <c r="F351" s="11">
        <f t="shared" si="9"/>
        <v>12076.261</v>
      </c>
    </row>
    <row r="352" spans="2:6" x14ac:dyDescent="0.25">
      <c r="B352" s="2">
        <v>0.311</v>
      </c>
      <c r="E352" s="11">
        <f t="shared" si="8"/>
        <v>13080.559499999999</v>
      </c>
      <c r="F352" s="11">
        <f t="shared" si="9"/>
        <v>12073.294099999999</v>
      </c>
    </row>
    <row r="353" spans="2:6" x14ac:dyDescent="0.25">
      <c r="B353" s="2">
        <v>0.312</v>
      </c>
      <c r="E353" s="11">
        <f t="shared" si="8"/>
        <v>13077.124</v>
      </c>
      <c r="F353" s="11">
        <f t="shared" si="9"/>
        <v>12070.3272</v>
      </c>
    </row>
    <row r="354" spans="2:6" x14ac:dyDescent="0.25">
      <c r="B354" s="2">
        <v>0.313</v>
      </c>
      <c r="E354" s="11">
        <f t="shared" si="8"/>
        <v>13073.6885</v>
      </c>
      <c r="F354" s="11">
        <f t="shared" si="9"/>
        <v>12067.3603</v>
      </c>
    </row>
    <row r="355" spans="2:6" x14ac:dyDescent="0.25">
      <c r="B355" s="2">
        <v>0.314</v>
      </c>
      <c r="E355" s="11">
        <f t="shared" si="8"/>
        <v>13070.253000000001</v>
      </c>
      <c r="F355" s="11">
        <f t="shared" si="9"/>
        <v>12064.393400000001</v>
      </c>
    </row>
    <row r="356" spans="2:6" x14ac:dyDescent="0.25">
      <c r="B356" s="2">
        <v>0.315</v>
      </c>
      <c r="E356" s="11">
        <f t="shared" si="8"/>
        <v>13066.817499999999</v>
      </c>
      <c r="F356" s="11">
        <f t="shared" si="9"/>
        <v>12061.4265</v>
      </c>
    </row>
    <row r="357" spans="2:6" x14ac:dyDescent="0.25">
      <c r="B357" s="2">
        <v>0.316</v>
      </c>
      <c r="E357" s="11">
        <f t="shared" si="8"/>
        <v>13063.382</v>
      </c>
      <c r="F357" s="11">
        <f t="shared" si="9"/>
        <v>12058.4596</v>
      </c>
    </row>
    <row r="358" spans="2:6" x14ac:dyDescent="0.25">
      <c r="B358" s="2">
        <v>0.317</v>
      </c>
      <c r="E358" s="11">
        <f t="shared" si="8"/>
        <v>13059.9465</v>
      </c>
      <c r="F358" s="11">
        <f t="shared" si="9"/>
        <v>12055.492700000001</v>
      </c>
    </row>
    <row r="359" spans="2:6" x14ac:dyDescent="0.25">
      <c r="B359" s="2">
        <v>0.318</v>
      </c>
      <c r="E359" s="11">
        <f t="shared" si="8"/>
        <v>13056.511</v>
      </c>
      <c r="F359" s="11">
        <f t="shared" si="9"/>
        <v>12052.525799999999</v>
      </c>
    </row>
    <row r="360" spans="2:6" x14ac:dyDescent="0.25">
      <c r="B360" s="2">
        <v>0.31900000000000001</v>
      </c>
      <c r="E360" s="11">
        <f t="shared" si="8"/>
        <v>13053.075499999999</v>
      </c>
      <c r="F360" s="11">
        <f t="shared" si="9"/>
        <v>12049.5589</v>
      </c>
    </row>
    <row r="361" spans="2:6" x14ac:dyDescent="0.25">
      <c r="B361" s="2">
        <v>0.32</v>
      </c>
      <c r="E361" s="11">
        <f t="shared" si="8"/>
        <v>13049.64</v>
      </c>
      <c r="F361" s="11">
        <f t="shared" si="9"/>
        <v>12046.592000000001</v>
      </c>
    </row>
    <row r="362" spans="2:6" x14ac:dyDescent="0.25">
      <c r="B362" s="2">
        <v>0.32100000000000001</v>
      </c>
      <c r="E362" s="11">
        <f t="shared" ref="E362:E425" si="10">-3435.5*B362 + 14149</f>
        <v>13046.2045</v>
      </c>
      <c r="F362" s="11">
        <f t="shared" ref="F362:F425" si="11" xml:space="preserve"> -2966.9*B362 + 12996</f>
        <v>12043.625099999999</v>
      </c>
    </row>
    <row r="363" spans="2:6" x14ac:dyDescent="0.25">
      <c r="B363" s="2">
        <v>0.32200000000000001</v>
      </c>
      <c r="E363" s="11">
        <f t="shared" si="10"/>
        <v>13042.769</v>
      </c>
      <c r="F363" s="11">
        <f t="shared" si="11"/>
        <v>12040.6582</v>
      </c>
    </row>
    <row r="364" spans="2:6" x14ac:dyDescent="0.25">
      <c r="B364" s="2">
        <v>0.32300000000000001</v>
      </c>
      <c r="E364" s="11">
        <f t="shared" si="10"/>
        <v>13039.333500000001</v>
      </c>
      <c r="F364" s="11">
        <f t="shared" si="11"/>
        <v>12037.6913</v>
      </c>
    </row>
    <row r="365" spans="2:6" x14ac:dyDescent="0.25">
      <c r="B365" s="2">
        <v>0.32400000000000001</v>
      </c>
      <c r="E365" s="11">
        <f t="shared" si="10"/>
        <v>13035.897999999999</v>
      </c>
      <c r="F365" s="11">
        <f t="shared" si="11"/>
        <v>12034.724399999999</v>
      </c>
    </row>
    <row r="366" spans="2:6" x14ac:dyDescent="0.25">
      <c r="B366" s="2">
        <v>0.32500000000000001</v>
      </c>
      <c r="E366" s="11">
        <f t="shared" si="10"/>
        <v>13032.4625</v>
      </c>
      <c r="F366" s="11">
        <f t="shared" si="11"/>
        <v>12031.7575</v>
      </c>
    </row>
    <row r="367" spans="2:6" x14ac:dyDescent="0.25">
      <c r="B367" s="2">
        <v>0.32600000000000001</v>
      </c>
      <c r="E367" s="11">
        <f t="shared" si="10"/>
        <v>13029.027</v>
      </c>
      <c r="F367" s="11">
        <f t="shared" si="11"/>
        <v>12028.7906</v>
      </c>
    </row>
    <row r="368" spans="2:6" x14ac:dyDescent="0.25">
      <c r="B368" s="2">
        <v>0.32700000000000001</v>
      </c>
      <c r="E368" s="11">
        <f t="shared" si="10"/>
        <v>13025.5915</v>
      </c>
      <c r="F368" s="11">
        <f t="shared" si="11"/>
        <v>12025.823700000001</v>
      </c>
    </row>
    <row r="369" spans="2:6" x14ac:dyDescent="0.25">
      <c r="B369" s="2">
        <v>0.32800000000000001</v>
      </c>
      <c r="E369" s="11">
        <f t="shared" si="10"/>
        <v>13022.155999999999</v>
      </c>
      <c r="F369" s="11">
        <f t="shared" si="11"/>
        <v>12022.8568</v>
      </c>
    </row>
    <row r="370" spans="2:6" x14ac:dyDescent="0.25">
      <c r="B370" s="2">
        <v>0.32900000000000001</v>
      </c>
      <c r="E370" s="11">
        <f t="shared" si="10"/>
        <v>13018.720499999999</v>
      </c>
      <c r="F370" s="11">
        <f t="shared" si="11"/>
        <v>12019.8899</v>
      </c>
    </row>
    <row r="371" spans="2:6" x14ac:dyDescent="0.25">
      <c r="B371" s="2">
        <v>0.33</v>
      </c>
      <c r="E371" s="11">
        <f t="shared" si="10"/>
        <v>13015.285</v>
      </c>
      <c r="F371" s="11">
        <f t="shared" si="11"/>
        <v>12016.923000000001</v>
      </c>
    </row>
    <row r="372" spans="2:6" x14ac:dyDescent="0.25">
      <c r="B372" s="2">
        <v>0.33100000000000002</v>
      </c>
      <c r="E372" s="11">
        <f t="shared" si="10"/>
        <v>13011.8495</v>
      </c>
      <c r="F372" s="11">
        <f t="shared" si="11"/>
        <v>12013.956099999999</v>
      </c>
    </row>
    <row r="373" spans="2:6" x14ac:dyDescent="0.25">
      <c r="B373" s="2">
        <v>0.33200000000000002</v>
      </c>
      <c r="E373" s="11">
        <f t="shared" si="10"/>
        <v>13008.414000000001</v>
      </c>
      <c r="F373" s="11">
        <f t="shared" si="11"/>
        <v>12010.9892</v>
      </c>
    </row>
    <row r="374" spans="2:6" x14ac:dyDescent="0.25">
      <c r="B374" s="2">
        <v>0.33300000000000002</v>
      </c>
      <c r="E374" s="11">
        <f t="shared" si="10"/>
        <v>13004.978499999999</v>
      </c>
      <c r="F374" s="11">
        <f t="shared" si="11"/>
        <v>12008.022300000001</v>
      </c>
    </row>
    <row r="375" spans="2:6" x14ac:dyDescent="0.25">
      <c r="B375" s="2">
        <v>0.33400000000000002</v>
      </c>
      <c r="E375" s="11">
        <f t="shared" si="10"/>
        <v>13001.543</v>
      </c>
      <c r="F375" s="11">
        <f t="shared" si="11"/>
        <v>12005.055399999999</v>
      </c>
    </row>
    <row r="376" spans="2:6" x14ac:dyDescent="0.25">
      <c r="B376" s="2">
        <v>0.33500000000000002</v>
      </c>
      <c r="E376" s="11">
        <f t="shared" si="10"/>
        <v>12998.1075</v>
      </c>
      <c r="F376" s="11">
        <f t="shared" si="11"/>
        <v>12002.0885</v>
      </c>
    </row>
    <row r="377" spans="2:6" x14ac:dyDescent="0.25">
      <c r="B377" s="2">
        <v>0.33600000000000002</v>
      </c>
      <c r="E377" s="11">
        <f t="shared" si="10"/>
        <v>12994.672</v>
      </c>
      <c r="F377" s="11">
        <f t="shared" si="11"/>
        <v>11999.1216</v>
      </c>
    </row>
    <row r="378" spans="2:6" x14ac:dyDescent="0.25">
      <c r="B378" s="2">
        <v>0.33700000000000002</v>
      </c>
      <c r="E378" s="11">
        <f t="shared" si="10"/>
        <v>12991.236499999999</v>
      </c>
      <c r="F378" s="11">
        <f t="shared" si="11"/>
        <v>11996.154699999999</v>
      </c>
    </row>
    <row r="379" spans="2:6" x14ac:dyDescent="0.25">
      <c r="B379" s="2">
        <v>0.33800000000000002</v>
      </c>
      <c r="E379" s="11">
        <f t="shared" si="10"/>
        <v>12987.800999999999</v>
      </c>
      <c r="F379" s="11">
        <f t="shared" si="11"/>
        <v>11993.1878</v>
      </c>
    </row>
    <row r="380" spans="2:6" x14ac:dyDescent="0.25">
      <c r="B380" s="2">
        <v>0.33900000000000002</v>
      </c>
      <c r="E380" s="11">
        <f t="shared" si="10"/>
        <v>12984.3655</v>
      </c>
      <c r="F380" s="11">
        <f t="shared" si="11"/>
        <v>11990.2209</v>
      </c>
    </row>
    <row r="381" spans="2:6" x14ac:dyDescent="0.25">
      <c r="B381" s="2">
        <v>0.34</v>
      </c>
      <c r="E381" s="11">
        <f t="shared" si="10"/>
        <v>12980.93</v>
      </c>
      <c r="F381" s="11">
        <f t="shared" si="11"/>
        <v>11987.254000000001</v>
      </c>
    </row>
    <row r="382" spans="2:6" x14ac:dyDescent="0.25">
      <c r="B382" s="2">
        <v>0.34100000000000003</v>
      </c>
      <c r="E382" s="11">
        <f t="shared" si="10"/>
        <v>12977.494500000001</v>
      </c>
      <c r="F382" s="11">
        <f t="shared" si="11"/>
        <v>11984.2871</v>
      </c>
    </row>
    <row r="383" spans="2:6" x14ac:dyDescent="0.25">
      <c r="B383" s="2">
        <v>0.34200000000000003</v>
      </c>
      <c r="E383" s="11">
        <f t="shared" si="10"/>
        <v>12974.058999999999</v>
      </c>
      <c r="F383" s="11">
        <f t="shared" si="11"/>
        <v>11981.3202</v>
      </c>
    </row>
    <row r="384" spans="2:6" x14ac:dyDescent="0.25">
      <c r="B384" s="2">
        <v>0.34300000000000003</v>
      </c>
      <c r="E384" s="11">
        <f t="shared" si="10"/>
        <v>12970.6235</v>
      </c>
      <c r="F384" s="11">
        <f t="shared" si="11"/>
        <v>11978.353300000001</v>
      </c>
    </row>
    <row r="385" spans="2:6" x14ac:dyDescent="0.25">
      <c r="B385" s="2">
        <v>0.34399999999999997</v>
      </c>
      <c r="E385" s="11">
        <f t="shared" si="10"/>
        <v>12967.188</v>
      </c>
      <c r="F385" s="11">
        <f t="shared" si="11"/>
        <v>11975.386399999999</v>
      </c>
    </row>
    <row r="386" spans="2:6" x14ac:dyDescent="0.25">
      <c r="B386" s="2">
        <v>0.34499999999999997</v>
      </c>
      <c r="E386" s="11">
        <f t="shared" si="10"/>
        <v>12963.752500000001</v>
      </c>
      <c r="F386" s="11">
        <f t="shared" si="11"/>
        <v>11972.4195</v>
      </c>
    </row>
    <row r="387" spans="2:6" x14ac:dyDescent="0.25">
      <c r="B387" s="2">
        <v>0.34599999999999997</v>
      </c>
      <c r="E387" s="11">
        <f t="shared" si="10"/>
        <v>12960.316999999999</v>
      </c>
      <c r="F387" s="11">
        <f t="shared" si="11"/>
        <v>11969.452600000001</v>
      </c>
    </row>
    <row r="388" spans="2:6" x14ac:dyDescent="0.25">
      <c r="B388" s="2">
        <v>0.34699999999999998</v>
      </c>
      <c r="E388" s="11">
        <f t="shared" si="10"/>
        <v>12956.8815</v>
      </c>
      <c r="F388" s="11">
        <f t="shared" si="11"/>
        <v>11966.485699999999</v>
      </c>
    </row>
    <row r="389" spans="2:6" x14ac:dyDescent="0.25">
      <c r="B389" s="2">
        <v>0.34799999999999998</v>
      </c>
      <c r="E389" s="11">
        <f t="shared" si="10"/>
        <v>12953.446</v>
      </c>
      <c r="F389" s="11">
        <f t="shared" si="11"/>
        <v>11963.5188</v>
      </c>
    </row>
    <row r="390" spans="2:6" x14ac:dyDescent="0.25">
      <c r="B390" s="2">
        <v>0.34899999999999998</v>
      </c>
      <c r="E390" s="11">
        <f t="shared" si="10"/>
        <v>12950.0105</v>
      </c>
      <c r="F390" s="11">
        <f t="shared" si="11"/>
        <v>11960.5519</v>
      </c>
    </row>
    <row r="391" spans="2:6" x14ac:dyDescent="0.25">
      <c r="B391" s="2">
        <v>0.35</v>
      </c>
      <c r="E391" s="11">
        <f t="shared" si="10"/>
        <v>12946.575000000001</v>
      </c>
      <c r="F391" s="11">
        <f t="shared" si="11"/>
        <v>11957.584999999999</v>
      </c>
    </row>
    <row r="392" spans="2:6" x14ac:dyDescent="0.25">
      <c r="B392" s="2">
        <v>0.35099999999999998</v>
      </c>
      <c r="E392" s="11">
        <f t="shared" si="10"/>
        <v>12943.139499999999</v>
      </c>
      <c r="F392" s="11">
        <f t="shared" si="11"/>
        <v>11954.6181</v>
      </c>
    </row>
    <row r="393" spans="2:6" x14ac:dyDescent="0.25">
      <c r="B393" s="2">
        <v>0.35199999999999998</v>
      </c>
      <c r="E393" s="11">
        <f t="shared" si="10"/>
        <v>12939.704</v>
      </c>
      <c r="F393" s="11">
        <f t="shared" si="11"/>
        <v>11951.6512</v>
      </c>
    </row>
    <row r="394" spans="2:6" x14ac:dyDescent="0.25">
      <c r="B394" s="2">
        <v>0.35299999999999998</v>
      </c>
      <c r="E394" s="11">
        <f t="shared" si="10"/>
        <v>12936.2685</v>
      </c>
      <c r="F394" s="11">
        <f t="shared" si="11"/>
        <v>11948.684300000001</v>
      </c>
    </row>
    <row r="395" spans="2:6" x14ac:dyDescent="0.25">
      <c r="B395" s="2">
        <v>0.35399999999999998</v>
      </c>
      <c r="E395" s="11">
        <f t="shared" si="10"/>
        <v>12932.833000000001</v>
      </c>
      <c r="F395" s="11">
        <f t="shared" si="11"/>
        <v>11945.7174</v>
      </c>
    </row>
    <row r="396" spans="2:6" x14ac:dyDescent="0.25">
      <c r="B396" s="2">
        <v>0.35499999999999998</v>
      </c>
      <c r="E396" s="11">
        <f t="shared" si="10"/>
        <v>12929.397499999999</v>
      </c>
      <c r="F396" s="11">
        <f t="shared" si="11"/>
        <v>11942.7505</v>
      </c>
    </row>
    <row r="397" spans="2:6" x14ac:dyDescent="0.25">
      <c r="B397" s="2">
        <v>0.35599999999999998</v>
      </c>
      <c r="E397" s="11">
        <f t="shared" si="10"/>
        <v>12925.962</v>
      </c>
      <c r="F397" s="11">
        <f t="shared" si="11"/>
        <v>11939.783600000001</v>
      </c>
    </row>
    <row r="398" spans="2:6" x14ac:dyDescent="0.25">
      <c r="B398" s="2">
        <v>0.35699999999999998</v>
      </c>
      <c r="E398" s="11">
        <f t="shared" si="10"/>
        <v>12922.5265</v>
      </c>
      <c r="F398" s="11">
        <f t="shared" si="11"/>
        <v>11936.816699999999</v>
      </c>
    </row>
    <row r="399" spans="2:6" x14ac:dyDescent="0.25">
      <c r="B399" s="2">
        <v>0.35799999999999998</v>
      </c>
      <c r="E399" s="11">
        <f t="shared" si="10"/>
        <v>12919.091</v>
      </c>
      <c r="F399" s="11">
        <f t="shared" si="11"/>
        <v>11933.8498</v>
      </c>
    </row>
    <row r="400" spans="2:6" x14ac:dyDescent="0.25">
      <c r="B400" s="2">
        <v>0.35899999999999999</v>
      </c>
      <c r="E400" s="11">
        <f t="shared" si="10"/>
        <v>12915.655500000001</v>
      </c>
      <c r="F400" s="11">
        <f t="shared" si="11"/>
        <v>11930.882900000001</v>
      </c>
    </row>
    <row r="401" spans="2:6" x14ac:dyDescent="0.25">
      <c r="B401" s="2">
        <v>0.36</v>
      </c>
      <c r="E401" s="11">
        <f t="shared" si="10"/>
        <v>12912.22</v>
      </c>
      <c r="F401" s="11">
        <f t="shared" si="11"/>
        <v>11927.915999999999</v>
      </c>
    </row>
    <row r="402" spans="2:6" x14ac:dyDescent="0.25">
      <c r="B402" s="2">
        <v>0.36099999999999999</v>
      </c>
      <c r="E402" s="11">
        <f t="shared" si="10"/>
        <v>12908.7845</v>
      </c>
      <c r="F402" s="11">
        <f t="shared" si="11"/>
        <v>11924.9491</v>
      </c>
    </row>
    <row r="403" spans="2:6" x14ac:dyDescent="0.25">
      <c r="B403" s="2">
        <v>0.36199999999999999</v>
      </c>
      <c r="E403" s="11">
        <f t="shared" si="10"/>
        <v>12905.349</v>
      </c>
      <c r="F403" s="11">
        <f t="shared" si="11"/>
        <v>11921.9822</v>
      </c>
    </row>
    <row r="404" spans="2:6" x14ac:dyDescent="0.25">
      <c r="B404" s="2">
        <v>0.36299999999999999</v>
      </c>
      <c r="E404" s="11">
        <f t="shared" si="10"/>
        <v>12901.913500000001</v>
      </c>
      <c r="F404" s="11">
        <f t="shared" si="11"/>
        <v>11919.015299999999</v>
      </c>
    </row>
    <row r="405" spans="2:6" x14ac:dyDescent="0.25">
      <c r="B405" s="2">
        <v>0.36399999999999999</v>
      </c>
      <c r="E405" s="11">
        <f t="shared" si="10"/>
        <v>12898.477999999999</v>
      </c>
      <c r="F405" s="11">
        <f t="shared" si="11"/>
        <v>11916.0484</v>
      </c>
    </row>
    <row r="406" spans="2:6" x14ac:dyDescent="0.25">
      <c r="B406" s="2">
        <v>0.36499999999999999</v>
      </c>
      <c r="E406" s="11">
        <f t="shared" si="10"/>
        <v>12895.0425</v>
      </c>
      <c r="F406" s="11">
        <f t="shared" si="11"/>
        <v>11913.0815</v>
      </c>
    </row>
    <row r="407" spans="2:6" x14ac:dyDescent="0.25">
      <c r="B407" s="2">
        <v>0.36599999999999999</v>
      </c>
      <c r="E407" s="11">
        <f t="shared" si="10"/>
        <v>12891.607</v>
      </c>
      <c r="F407" s="11">
        <f t="shared" si="11"/>
        <v>11910.114600000001</v>
      </c>
    </row>
    <row r="408" spans="2:6" x14ac:dyDescent="0.25">
      <c r="B408" s="2">
        <v>0.36699999999999999</v>
      </c>
      <c r="E408" s="11">
        <f t="shared" si="10"/>
        <v>12888.1715</v>
      </c>
      <c r="F408" s="11">
        <f t="shared" si="11"/>
        <v>11907.1477</v>
      </c>
    </row>
    <row r="409" spans="2:6" x14ac:dyDescent="0.25">
      <c r="B409" s="2">
        <v>0.36799999999999999</v>
      </c>
      <c r="E409" s="11">
        <f t="shared" si="10"/>
        <v>12884.736000000001</v>
      </c>
      <c r="F409" s="11">
        <f t="shared" si="11"/>
        <v>11904.1808</v>
      </c>
    </row>
    <row r="410" spans="2:6" x14ac:dyDescent="0.25">
      <c r="B410" s="2">
        <v>0.36899999999999999</v>
      </c>
      <c r="E410" s="11">
        <f t="shared" si="10"/>
        <v>12881.300499999999</v>
      </c>
      <c r="F410" s="11">
        <f t="shared" si="11"/>
        <v>11901.213900000001</v>
      </c>
    </row>
    <row r="411" spans="2:6" x14ac:dyDescent="0.25">
      <c r="B411" s="2">
        <v>0.37</v>
      </c>
      <c r="E411" s="11">
        <f t="shared" si="10"/>
        <v>12877.865</v>
      </c>
      <c r="F411" s="11">
        <f t="shared" si="11"/>
        <v>11898.246999999999</v>
      </c>
    </row>
    <row r="412" spans="2:6" x14ac:dyDescent="0.25">
      <c r="B412" s="2">
        <v>0.371</v>
      </c>
      <c r="E412" s="11">
        <f t="shared" si="10"/>
        <v>12874.4295</v>
      </c>
      <c r="F412" s="11">
        <f t="shared" si="11"/>
        <v>11895.2801</v>
      </c>
    </row>
    <row r="413" spans="2:6" x14ac:dyDescent="0.25">
      <c r="B413" s="2">
        <v>0.372</v>
      </c>
      <c r="E413" s="11">
        <f t="shared" si="10"/>
        <v>12870.994000000001</v>
      </c>
      <c r="F413" s="11">
        <f t="shared" si="11"/>
        <v>11892.313200000001</v>
      </c>
    </row>
    <row r="414" spans="2:6" x14ac:dyDescent="0.25">
      <c r="B414" s="2">
        <v>0.373</v>
      </c>
      <c r="E414" s="11">
        <f t="shared" si="10"/>
        <v>12867.558499999999</v>
      </c>
      <c r="F414" s="11">
        <f t="shared" si="11"/>
        <v>11889.346299999999</v>
      </c>
    </row>
    <row r="415" spans="2:6" x14ac:dyDescent="0.25">
      <c r="B415" s="2">
        <v>0.374</v>
      </c>
      <c r="E415" s="11">
        <f t="shared" si="10"/>
        <v>12864.123</v>
      </c>
      <c r="F415" s="11">
        <f t="shared" si="11"/>
        <v>11886.3794</v>
      </c>
    </row>
    <row r="416" spans="2:6" x14ac:dyDescent="0.25">
      <c r="B416" s="2">
        <v>0.375</v>
      </c>
      <c r="E416" s="11">
        <f t="shared" si="10"/>
        <v>12860.6875</v>
      </c>
      <c r="F416" s="11">
        <f t="shared" si="11"/>
        <v>11883.4125</v>
      </c>
    </row>
    <row r="417" spans="2:6" x14ac:dyDescent="0.25">
      <c r="B417" s="2">
        <v>0.376</v>
      </c>
      <c r="E417" s="11">
        <f t="shared" si="10"/>
        <v>12857.252</v>
      </c>
      <c r="F417" s="11">
        <f t="shared" si="11"/>
        <v>11880.445599999999</v>
      </c>
    </row>
    <row r="418" spans="2:6" x14ac:dyDescent="0.25">
      <c r="B418" s="2">
        <v>0.377</v>
      </c>
      <c r="E418" s="11">
        <f t="shared" si="10"/>
        <v>12853.816500000001</v>
      </c>
      <c r="F418" s="11">
        <f t="shared" si="11"/>
        <v>11877.4787</v>
      </c>
    </row>
    <row r="419" spans="2:6" x14ac:dyDescent="0.25">
      <c r="B419" s="2">
        <v>0.378</v>
      </c>
      <c r="E419" s="11">
        <f t="shared" si="10"/>
        <v>12850.380999999999</v>
      </c>
      <c r="F419" s="11">
        <f t="shared" si="11"/>
        <v>11874.5118</v>
      </c>
    </row>
    <row r="420" spans="2:6" x14ac:dyDescent="0.25">
      <c r="B420" s="2">
        <v>0.379</v>
      </c>
      <c r="E420" s="11">
        <f t="shared" si="10"/>
        <v>12846.9455</v>
      </c>
      <c r="F420" s="11">
        <f t="shared" si="11"/>
        <v>11871.544900000001</v>
      </c>
    </row>
    <row r="421" spans="2:6" x14ac:dyDescent="0.25">
      <c r="B421" s="2">
        <v>0.38</v>
      </c>
      <c r="E421" s="11">
        <f t="shared" si="10"/>
        <v>12843.51</v>
      </c>
      <c r="F421" s="11">
        <f t="shared" si="11"/>
        <v>11868.578</v>
      </c>
    </row>
    <row r="422" spans="2:6" x14ac:dyDescent="0.25">
      <c r="B422" s="2">
        <v>0.38100000000000001</v>
      </c>
      <c r="E422" s="11">
        <f t="shared" si="10"/>
        <v>12840.074500000001</v>
      </c>
      <c r="F422" s="11">
        <f t="shared" si="11"/>
        <v>11865.6111</v>
      </c>
    </row>
    <row r="423" spans="2:6" x14ac:dyDescent="0.25">
      <c r="B423" s="2">
        <v>0.38200000000000001</v>
      </c>
      <c r="E423" s="11">
        <f t="shared" si="10"/>
        <v>12836.638999999999</v>
      </c>
      <c r="F423" s="11">
        <f t="shared" si="11"/>
        <v>11862.644200000001</v>
      </c>
    </row>
    <row r="424" spans="2:6" x14ac:dyDescent="0.25">
      <c r="B424" s="2">
        <v>0.38300000000000001</v>
      </c>
      <c r="E424" s="11">
        <f t="shared" si="10"/>
        <v>12833.2035</v>
      </c>
      <c r="F424" s="11">
        <f t="shared" si="11"/>
        <v>11859.677299999999</v>
      </c>
    </row>
    <row r="425" spans="2:6" x14ac:dyDescent="0.25">
      <c r="B425" s="2">
        <v>0.38400000000000001</v>
      </c>
      <c r="E425" s="11">
        <f t="shared" si="10"/>
        <v>12829.768</v>
      </c>
      <c r="F425" s="11">
        <f t="shared" si="11"/>
        <v>11856.7104</v>
      </c>
    </row>
    <row r="426" spans="2:6" x14ac:dyDescent="0.25">
      <c r="B426" s="2">
        <v>0.38500000000000001</v>
      </c>
      <c r="E426" s="11">
        <f t="shared" ref="E426:E489" si="12">-3435.5*B426 + 14149</f>
        <v>12826.3325</v>
      </c>
      <c r="F426" s="11">
        <f t="shared" ref="F426:F489" si="13" xml:space="preserve"> -2966.9*B426 + 12996</f>
        <v>11853.7435</v>
      </c>
    </row>
    <row r="427" spans="2:6" x14ac:dyDescent="0.25">
      <c r="B427" s="2">
        <v>0.38600000000000001</v>
      </c>
      <c r="E427" s="11">
        <f t="shared" si="12"/>
        <v>12822.897000000001</v>
      </c>
      <c r="F427" s="11">
        <f t="shared" si="13"/>
        <v>11850.776599999999</v>
      </c>
    </row>
    <row r="428" spans="2:6" x14ac:dyDescent="0.25">
      <c r="B428" s="2">
        <v>0.38700000000000001</v>
      </c>
      <c r="E428" s="11">
        <f t="shared" si="12"/>
        <v>12819.461499999999</v>
      </c>
      <c r="F428" s="11">
        <f t="shared" si="13"/>
        <v>11847.8097</v>
      </c>
    </row>
    <row r="429" spans="2:6" x14ac:dyDescent="0.25">
      <c r="B429" s="2">
        <v>0.38800000000000001</v>
      </c>
      <c r="E429" s="11">
        <f t="shared" si="12"/>
        <v>12816.026</v>
      </c>
      <c r="F429" s="11">
        <f t="shared" si="13"/>
        <v>11844.8428</v>
      </c>
    </row>
    <row r="430" spans="2:6" x14ac:dyDescent="0.25">
      <c r="B430" s="2">
        <v>0.38900000000000001</v>
      </c>
      <c r="E430" s="11">
        <f t="shared" si="12"/>
        <v>12812.5905</v>
      </c>
      <c r="F430" s="11">
        <f t="shared" si="13"/>
        <v>11841.875899999999</v>
      </c>
    </row>
    <row r="431" spans="2:6" x14ac:dyDescent="0.25">
      <c r="B431" s="2">
        <v>0.39</v>
      </c>
      <c r="E431" s="11">
        <f t="shared" si="12"/>
        <v>12809.155000000001</v>
      </c>
      <c r="F431" s="11">
        <f t="shared" si="13"/>
        <v>11838.909</v>
      </c>
    </row>
    <row r="432" spans="2:6" x14ac:dyDescent="0.25">
      <c r="B432" s="2">
        <v>0.39100000000000001</v>
      </c>
      <c r="E432" s="11">
        <f t="shared" si="12"/>
        <v>12805.719499999999</v>
      </c>
      <c r="F432" s="11">
        <f t="shared" si="13"/>
        <v>11835.9421</v>
      </c>
    </row>
    <row r="433" spans="2:6" x14ac:dyDescent="0.25">
      <c r="B433" s="2">
        <v>0.39200000000000002</v>
      </c>
      <c r="E433" s="11">
        <f t="shared" si="12"/>
        <v>12802.284</v>
      </c>
      <c r="F433" s="11">
        <f t="shared" si="13"/>
        <v>11832.975200000001</v>
      </c>
    </row>
    <row r="434" spans="2:6" x14ac:dyDescent="0.25">
      <c r="B434" s="2">
        <v>0.39300000000000002</v>
      </c>
      <c r="E434" s="11">
        <f t="shared" si="12"/>
        <v>12798.8485</v>
      </c>
      <c r="F434" s="11">
        <f t="shared" si="13"/>
        <v>11830.0083</v>
      </c>
    </row>
    <row r="435" spans="2:6" x14ac:dyDescent="0.25">
      <c r="B435" s="2">
        <v>0.39400000000000002</v>
      </c>
      <c r="E435" s="11">
        <f t="shared" si="12"/>
        <v>12795.413</v>
      </c>
      <c r="F435" s="11">
        <f t="shared" si="13"/>
        <v>11827.0414</v>
      </c>
    </row>
    <row r="436" spans="2:6" x14ac:dyDescent="0.25">
      <c r="B436" s="2">
        <v>0.39500000000000002</v>
      </c>
      <c r="E436" s="11">
        <f t="shared" si="12"/>
        <v>12791.977500000001</v>
      </c>
      <c r="F436" s="11">
        <f t="shared" si="13"/>
        <v>11824.074500000001</v>
      </c>
    </row>
    <row r="437" spans="2:6" x14ac:dyDescent="0.25">
      <c r="B437" s="2">
        <v>0.39600000000000002</v>
      </c>
      <c r="E437" s="11">
        <f t="shared" si="12"/>
        <v>12788.541999999999</v>
      </c>
      <c r="F437" s="11">
        <f t="shared" si="13"/>
        <v>11821.107599999999</v>
      </c>
    </row>
    <row r="438" spans="2:6" x14ac:dyDescent="0.25">
      <c r="B438" s="2">
        <v>0.39700000000000002</v>
      </c>
      <c r="E438" s="11">
        <f t="shared" si="12"/>
        <v>12785.1065</v>
      </c>
      <c r="F438" s="11">
        <f t="shared" si="13"/>
        <v>11818.1407</v>
      </c>
    </row>
    <row r="439" spans="2:6" x14ac:dyDescent="0.25">
      <c r="B439" s="2">
        <v>0.39800000000000002</v>
      </c>
      <c r="E439" s="11">
        <f t="shared" si="12"/>
        <v>12781.671</v>
      </c>
      <c r="F439" s="11">
        <f t="shared" si="13"/>
        <v>11815.1738</v>
      </c>
    </row>
    <row r="440" spans="2:6" x14ac:dyDescent="0.25">
      <c r="B440" s="2">
        <v>0.39900000000000002</v>
      </c>
      <c r="E440" s="11">
        <f t="shared" si="12"/>
        <v>12778.235500000001</v>
      </c>
      <c r="F440" s="11">
        <f t="shared" si="13"/>
        <v>11812.206899999999</v>
      </c>
    </row>
    <row r="441" spans="2:6" x14ac:dyDescent="0.25">
      <c r="B441" s="2">
        <v>0.4</v>
      </c>
      <c r="E441" s="11">
        <f t="shared" si="12"/>
        <v>12774.8</v>
      </c>
      <c r="F441" s="11">
        <f t="shared" si="13"/>
        <v>11809.24</v>
      </c>
    </row>
    <row r="442" spans="2:6" x14ac:dyDescent="0.25">
      <c r="B442" s="2">
        <v>0.40100000000000002</v>
      </c>
      <c r="E442" s="11">
        <f t="shared" si="12"/>
        <v>12771.3645</v>
      </c>
      <c r="F442" s="11">
        <f t="shared" si="13"/>
        <v>11806.2731</v>
      </c>
    </row>
    <row r="443" spans="2:6" x14ac:dyDescent="0.25">
      <c r="B443" s="2">
        <v>0.40200000000000002</v>
      </c>
      <c r="E443" s="11">
        <f t="shared" si="12"/>
        <v>12767.929</v>
      </c>
      <c r="F443" s="11">
        <f t="shared" si="13"/>
        <v>11803.306199999999</v>
      </c>
    </row>
    <row r="444" spans="2:6" x14ac:dyDescent="0.25">
      <c r="B444" s="2">
        <v>0.40300000000000002</v>
      </c>
      <c r="E444" s="11">
        <f t="shared" si="12"/>
        <v>12764.4935</v>
      </c>
      <c r="F444" s="11">
        <f t="shared" si="13"/>
        <v>11800.3393</v>
      </c>
    </row>
    <row r="445" spans="2:6" x14ac:dyDescent="0.25">
      <c r="B445" s="2">
        <v>0.40400000000000003</v>
      </c>
      <c r="E445" s="11">
        <f t="shared" si="12"/>
        <v>12761.058000000001</v>
      </c>
      <c r="F445" s="11">
        <f t="shared" si="13"/>
        <v>11797.3724</v>
      </c>
    </row>
    <row r="446" spans="2:6" x14ac:dyDescent="0.25">
      <c r="B446" s="2">
        <v>0.40500000000000003</v>
      </c>
      <c r="E446" s="11">
        <f t="shared" si="12"/>
        <v>12757.622499999999</v>
      </c>
      <c r="F446" s="11">
        <f t="shared" si="13"/>
        <v>11794.405500000001</v>
      </c>
    </row>
    <row r="447" spans="2:6" x14ac:dyDescent="0.25">
      <c r="B447" s="2">
        <v>0.40600000000000003</v>
      </c>
      <c r="E447" s="11">
        <f t="shared" si="12"/>
        <v>12754.187</v>
      </c>
      <c r="F447" s="11">
        <f t="shared" si="13"/>
        <v>11791.438599999999</v>
      </c>
    </row>
    <row r="448" spans="2:6" x14ac:dyDescent="0.25">
      <c r="B448" s="2">
        <v>0.40699999999999997</v>
      </c>
      <c r="E448" s="11">
        <f t="shared" si="12"/>
        <v>12750.7515</v>
      </c>
      <c r="F448" s="11">
        <f t="shared" si="13"/>
        <v>11788.4717</v>
      </c>
    </row>
    <row r="449" spans="2:6" x14ac:dyDescent="0.25">
      <c r="B449" s="2">
        <v>0.40799999999999997</v>
      </c>
      <c r="E449" s="11">
        <f t="shared" si="12"/>
        <v>12747.316000000001</v>
      </c>
      <c r="F449" s="11">
        <f t="shared" si="13"/>
        <v>11785.504800000001</v>
      </c>
    </row>
    <row r="450" spans="2:6" x14ac:dyDescent="0.25">
      <c r="B450" s="2">
        <v>0.40899999999999997</v>
      </c>
      <c r="E450" s="11">
        <f t="shared" si="12"/>
        <v>12743.880499999999</v>
      </c>
      <c r="F450" s="11">
        <f t="shared" si="13"/>
        <v>11782.537899999999</v>
      </c>
    </row>
    <row r="451" spans="2:6" x14ac:dyDescent="0.25">
      <c r="B451" s="2">
        <v>0.41</v>
      </c>
      <c r="E451" s="11">
        <f t="shared" si="12"/>
        <v>12740.445</v>
      </c>
      <c r="F451" s="11">
        <f t="shared" si="13"/>
        <v>11779.571</v>
      </c>
    </row>
    <row r="452" spans="2:6" x14ac:dyDescent="0.25">
      <c r="B452" s="2">
        <v>0.41099999999999998</v>
      </c>
      <c r="E452" s="11">
        <f t="shared" si="12"/>
        <v>12737.0095</v>
      </c>
      <c r="F452" s="11">
        <f t="shared" si="13"/>
        <v>11776.6041</v>
      </c>
    </row>
    <row r="453" spans="2:6" x14ac:dyDescent="0.25">
      <c r="B453" s="2">
        <v>0.41199999999999998</v>
      </c>
      <c r="E453" s="11">
        <f t="shared" si="12"/>
        <v>12733.574000000001</v>
      </c>
      <c r="F453" s="11">
        <f t="shared" si="13"/>
        <v>11773.637200000001</v>
      </c>
    </row>
    <row r="454" spans="2:6" x14ac:dyDescent="0.25">
      <c r="B454" s="2">
        <v>0.41299999999999998</v>
      </c>
      <c r="E454" s="11">
        <f t="shared" si="12"/>
        <v>12730.138500000001</v>
      </c>
      <c r="F454" s="11">
        <f t="shared" si="13"/>
        <v>11770.6703</v>
      </c>
    </row>
    <row r="455" spans="2:6" x14ac:dyDescent="0.25">
      <c r="B455" s="2">
        <v>0.41399999999999998</v>
      </c>
      <c r="E455" s="11">
        <f t="shared" si="12"/>
        <v>12726.703</v>
      </c>
      <c r="F455" s="11">
        <f t="shared" si="13"/>
        <v>11767.7034</v>
      </c>
    </row>
    <row r="456" spans="2:6" x14ac:dyDescent="0.25">
      <c r="B456" s="2">
        <v>0.41499999999999998</v>
      </c>
      <c r="E456" s="11">
        <f t="shared" si="12"/>
        <v>12723.2675</v>
      </c>
      <c r="F456" s="11">
        <f t="shared" si="13"/>
        <v>11764.736499999999</v>
      </c>
    </row>
    <row r="457" spans="2:6" x14ac:dyDescent="0.25">
      <c r="B457" s="2">
        <v>0.41599999999999998</v>
      </c>
      <c r="E457" s="11">
        <f t="shared" si="12"/>
        <v>12719.832</v>
      </c>
      <c r="F457" s="11">
        <f t="shared" si="13"/>
        <v>11761.7696</v>
      </c>
    </row>
    <row r="458" spans="2:6" x14ac:dyDescent="0.25">
      <c r="B458" s="2">
        <v>0.41699999999999998</v>
      </c>
      <c r="E458" s="11">
        <f t="shared" si="12"/>
        <v>12716.396500000001</v>
      </c>
      <c r="F458" s="11">
        <f t="shared" si="13"/>
        <v>11758.8027</v>
      </c>
    </row>
    <row r="459" spans="2:6" x14ac:dyDescent="0.25">
      <c r="B459" s="2">
        <v>0.41799999999999998</v>
      </c>
      <c r="E459" s="11">
        <f t="shared" si="12"/>
        <v>12712.960999999999</v>
      </c>
      <c r="F459" s="11">
        <f t="shared" si="13"/>
        <v>11755.835800000001</v>
      </c>
    </row>
    <row r="460" spans="2:6" x14ac:dyDescent="0.25">
      <c r="B460" s="2">
        <v>0.41899999999999998</v>
      </c>
      <c r="E460" s="11">
        <f t="shared" si="12"/>
        <v>12709.5255</v>
      </c>
      <c r="F460" s="11">
        <f t="shared" si="13"/>
        <v>11752.868899999999</v>
      </c>
    </row>
    <row r="461" spans="2:6" x14ac:dyDescent="0.25">
      <c r="B461" s="2">
        <v>0.42</v>
      </c>
      <c r="E461" s="11">
        <f t="shared" si="12"/>
        <v>12706.09</v>
      </c>
      <c r="F461" s="11">
        <f t="shared" si="13"/>
        <v>11749.902</v>
      </c>
    </row>
    <row r="462" spans="2:6" x14ac:dyDescent="0.25">
      <c r="B462" s="2">
        <v>0.42099999999999999</v>
      </c>
      <c r="E462" s="11">
        <f t="shared" si="12"/>
        <v>12702.654500000001</v>
      </c>
      <c r="F462" s="11">
        <f t="shared" si="13"/>
        <v>11746.935100000001</v>
      </c>
    </row>
    <row r="463" spans="2:6" x14ac:dyDescent="0.25">
      <c r="B463" s="2">
        <v>0.42199999999999999</v>
      </c>
      <c r="E463" s="11">
        <f t="shared" si="12"/>
        <v>12699.219000000001</v>
      </c>
      <c r="F463" s="11">
        <f t="shared" si="13"/>
        <v>11743.968199999999</v>
      </c>
    </row>
    <row r="464" spans="2:6" x14ac:dyDescent="0.25">
      <c r="B464" s="2">
        <v>0.42299999999999999</v>
      </c>
      <c r="E464" s="11">
        <f t="shared" si="12"/>
        <v>12695.7835</v>
      </c>
      <c r="F464" s="11">
        <f t="shared" si="13"/>
        <v>11741.0013</v>
      </c>
    </row>
    <row r="465" spans="2:6" x14ac:dyDescent="0.25">
      <c r="B465" s="2">
        <v>0.42399999999999999</v>
      </c>
      <c r="E465" s="11">
        <f t="shared" si="12"/>
        <v>12692.348</v>
      </c>
      <c r="F465" s="11">
        <f t="shared" si="13"/>
        <v>11738.0344</v>
      </c>
    </row>
    <row r="466" spans="2:6" x14ac:dyDescent="0.25">
      <c r="B466" s="2">
        <v>0.42499999999999999</v>
      </c>
      <c r="E466" s="11">
        <f t="shared" si="12"/>
        <v>12688.9125</v>
      </c>
      <c r="F466" s="11">
        <f t="shared" si="13"/>
        <v>11735.067499999999</v>
      </c>
    </row>
    <row r="467" spans="2:6" x14ac:dyDescent="0.25">
      <c r="B467" s="2">
        <v>0.42599999999999999</v>
      </c>
      <c r="E467" s="11">
        <f t="shared" si="12"/>
        <v>12685.477000000001</v>
      </c>
      <c r="F467" s="11">
        <f t="shared" si="13"/>
        <v>11732.1006</v>
      </c>
    </row>
    <row r="468" spans="2:6" x14ac:dyDescent="0.25">
      <c r="B468" s="2">
        <v>0.42699999999999999</v>
      </c>
      <c r="E468" s="11">
        <f t="shared" si="12"/>
        <v>12682.041499999999</v>
      </c>
      <c r="F468" s="11">
        <f t="shared" si="13"/>
        <v>11729.1337</v>
      </c>
    </row>
    <row r="469" spans="2:6" x14ac:dyDescent="0.25">
      <c r="B469" s="2">
        <v>0.42799999999999999</v>
      </c>
      <c r="E469" s="11">
        <f t="shared" si="12"/>
        <v>12678.606</v>
      </c>
      <c r="F469" s="11">
        <f t="shared" si="13"/>
        <v>11726.166799999999</v>
      </c>
    </row>
    <row r="470" spans="2:6" x14ac:dyDescent="0.25">
      <c r="B470" s="2">
        <v>0.42899999999999999</v>
      </c>
      <c r="E470" s="11">
        <f t="shared" si="12"/>
        <v>12675.1705</v>
      </c>
      <c r="F470" s="11">
        <f t="shared" si="13"/>
        <v>11723.1999</v>
      </c>
    </row>
    <row r="471" spans="2:6" x14ac:dyDescent="0.25">
      <c r="B471" s="2">
        <v>0.43</v>
      </c>
      <c r="E471" s="11">
        <f t="shared" si="12"/>
        <v>12671.735000000001</v>
      </c>
      <c r="F471" s="11">
        <f t="shared" si="13"/>
        <v>11720.233</v>
      </c>
    </row>
    <row r="472" spans="2:6" x14ac:dyDescent="0.25">
      <c r="B472" s="2">
        <v>0.43099999999999999</v>
      </c>
      <c r="E472" s="11">
        <f t="shared" si="12"/>
        <v>12668.299500000001</v>
      </c>
      <c r="F472" s="11">
        <f t="shared" si="13"/>
        <v>11717.266100000001</v>
      </c>
    </row>
    <row r="473" spans="2:6" x14ac:dyDescent="0.25">
      <c r="B473" s="2">
        <v>0.432</v>
      </c>
      <c r="E473" s="11">
        <f t="shared" si="12"/>
        <v>12664.864</v>
      </c>
      <c r="F473" s="11">
        <f t="shared" si="13"/>
        <v>11714.299199999999</v>
      </c>
    </row>
    <row r="474" spans="2:6" x14ac:dyDescent="0.25">
      <c r="B474" s="2">
        <v>0.433</v>
      </c>
      <c r="E474" s="11">
        <f t="shared" si="12"/>
        <v>12661.4285</v>
      </c>
      <c r="F474" s="11">
        <f t="shared" si="13"/>
        <v>11711.3323</v>
      </c>
    </row>
    <row r="475" spans="2:6" x14ac:dyDescent="0.25">
      <c r="B475" s="2">
        <v>0.434</v>
      </c>
      <c r="E475" s="11">
        <f t="shared" si="12"/>
        <v>12657.993</v>
      </c>
      <c r="F475" s="11">
        <f t="shared" si="13"/>
        <v>11708.365400000001</v>
      </c>
    </row>
    <row r="476" spans="2:6" x14ac:dyDescent="0.25">
      <c r="B476" s="2">
        <v>0.435</v>
      </c>
      <c r="E476" s="11">
        <f t="shared" si="12"/>
        <v>12654.557500000001</v>
      </c>
      <c r="F476" s="11">
        <f t="shared" si="13"/>
        <v>11705.398499999999</v>
      </c>
    </row>
    <row r="477" spans="2:6" x14ac:dyDescent="0.25">
      <c r="B477" s="2">
        <v>0.436</v>
      </c>
      <c r="E477" s="11">
        <f t="shared" si="12"/>
        <v>12651.121999999999</v>
      </c>
      <c r="F477" s="11">
        <f t="shared" si="13"/>
        <v>11702.4316</v>
      </c>
    </row>
    <row r="478" spans="2:6" x14ac:dyDescent="0.25">
      <c r="B478" s="2">
        <v>0.437</v>
      </c>
      <c r="E478" s="11">
        <f t="shared" si="12"/>
        <v>12647.6865</v>
      </c>
      <c r="F478" s="11">
        <f t="shared" si="13"/>
        <v>11699.4647</v>
      </c>
    </row>
    <row r="479" spans="2:6" x14ac:dyDescent="0.25">
      <c r="B479" s="2">
        <v>0.438</v>
      </c>
      <c r="E479" s="11">
        <f t="shared" si="12"/>
        <v>12644.251</v>
      </c>
      <c r="F479" s="11">
        <f t="shared" si="13"/>
        <v>11696.497799999999</v>
      </c>
    </row>
    <row r="480" spans="2:6" x14ac:dyDescent="0.25">
      <c r="B480" s="2">
        <v>0.439</v>
      </c>
      <c r="E480" s="11">
        <f t="shared" si="12"/>
        <v>12640.815500000001</v>
      </c>
      <c r="F480" s="11">
        <f t="shared" si="13"/>
        <v>11693.5309</v>
      </c>
    </row>
    <row r="481" spans="2:6" x14ac:dyDescent="0.25">
      <c r="B481" s="2">
        <v>0.44</v>
      </c>
      <c r="E481" s="11">
        <f t="shared" si="12"/>
        <v>12637.38</v>
      </c>
      <c r="F481" s="11">
        <f t="shared" si="13"/>
        <v>11690.564</v>
      </c>
    </row>
    <row r="482" spans="2:6" x14ac:dyDescent="0.25">
      <c r="B482" s="2">
        <v>0.441</v>
      </c>
      <c r="E482" s="11">
        <f t="shared" si="12"/>
        <v>12633.9445</v>
      </c>
      <c r="F482" s="11">
        <f t="shared" si="13"/>
        <v>11687.597099999999</v>
      </c>
    </row>
    <row r="483" spans="2:6" x14ac:dyDescent="0.25">
      <c r="B483" s="2">
        <v>0.442</v>
      </c>
      <c r="E483" s="11">
        <f t="shared" si="12"/>
        <v>12630.509</v>
      </c>
      <c r="F483" s="11">
        <f t="shared" si="13"/>
        <v>11684.6302</v>
      </c>
    </row>
    <row r="484" spans="2:6" x14ac:dyDescent="0.25">
      <c r="B484" s="2">
        <v>0.443</v>
      </c>
      <c r="E484" s="11">
        <f t="shared" si="12"/>
        <v>12627.0735</v>
      </c>
      <c r="F484" s="11">
        <f t="shared" si="13"/>
        <v>11681.6633</v>
      </c>
    </row>
    <row r="485" spans="2:6" x14ac:dyDescent="0.25">
      <c r="B485" s="2">
        <v>0.44400000000000001</v>
      </c>
      <c r="E485" s="11">
        <f t="shared" si="12"/>
        <v>12623.637999999999</v>
      </c>
      <c r="F485" s="11">
        <f t="shared" si="13"/>
        <v>11678.696400000001</v>
      </c>
    </row>
    <row r="486" spans="2:6" x14ac:dyDescent="0.25">
      <c r="B486" s="2">
        <v>0.44500000000000001</v>
      </c>
      <c r="E486" s="11">
        <f t="shared" si="12"/>
        <v>12620.202499999999</v>
      </c>
      <c r="F486" s="11">
        <f t="shared" si="13"/>
        <v>11675.729499999999</v>
      </c>
    </row>
    <row r="487" spans="2:6" x14ac:dyDescent="0.25">
      <c r="B487" s="2">
        <v>0.44600000000000001</v>
      </c>
      <c r="E487" s="11">
        <f t="shared" si="12"/>
        <v>12616.767</v>
      </c>
      <c r="F487" s="11">
        <f t="shared" si="13"/>
        <v>11672.7626</v>
      </c>
    </row>
    <row r="488" spans="2:6" x14ac:dyDescent="0.25">
      <c r="B488" s="2">
        <v>0.44700000000000001</v>
      </c>
      <c r="E488" s="11">
        <f t="shared" si="12"/>
        <v>12613.3315</v>
      </c>
      <c r="F488" s="11">
        <f t="shared" si="13"/>
        <v>11669.795700000001</v>
      </c>
    </row>
    <row r="489" spans="2:6" x14ac:dyDescent="0.25">
      <c r="B489" s="2">
        <v>0.44800000000000001</v>
      </c>
      <c r="E489" s="11">
        <f t="shared" si="12"/>
        <v>12609.896000000001</v>
      </c>
      <c r="F489" s="11">
        <f t="shared" si="13"/>
        <v>11666.828799999999</v>
      </c>
    </row>
    <row r="490" spans="2:6" x14ac:dyDescent="0.25">
      <c r="B490" s="2">
        <v>0.44900000000000001</v>
      </c>
      <c r="E490" s="11">
        <f t="shared" ref="E490:E535" si="14">-3435.5*B490 + 14149</f>
        <v>12606.460499999999</v>
      </c>
      <c r="F490" s="11">
        <f t="shared" ref="F490:F535" si="15" xml:space="preserve"> -2966.9*B490 + 12996</f>
        <v>11663.8619</v>
      </c>
    </row>
    <row r="491" spans="2:6" x14ac:dyDescent="0.25">
      <c r="B491" s="2">
        <v>0.45</v>
      </c>
      <c r="E491" s="11">
        <f t="shared" si="14"/>
        <v>12603.025</v>
      </c>
      <c r="F491" s="11">
        <f t="shared" si="15"/>
        <v>11660.895</v>
      </c>
    </row>
    <row r="492" spans="2:6" x14ac:dyDescent="0.25">
      <c r="B492" s="2">
        <v>0.45100000000000001</v>
      </c>
      <c r="E492" s="11">
        <f t="shared" si="14"/>
        <v>12599.5895</v>
      </c>
      <c r="F492" s="11">
        <f t="shared" si="15"/>
        <v>11657.928099999999</v>
      </c>
    </row>
    <row r="493" spans="2:6" x14ac:dyDescent="0.25">
      <c r="B493" s="2">
        <v>0.45200000000000001</v>
      </c>
      <c r="E493" s="11">
        <f t="shared" si="14"/>
        <v>12596.154</v>
      </c>
      <c r="F493" s="11">
        <f t="shared" si="15"/>
        <v>11654.9612</v>
      </c>
    </row>
    <row r="494" spans="2:6" x14ac:dyDescent="0.25">
      <c r="B494" s="2">
        <v>0.45300000000000001</v>
      </c>
      <c r="E494" s="11">
        <f t="shared" si="14"/>
        <v>12592.718499999999</v>
      </c>
      <c r="F494" s="11">
        <f t="shared" si="15"/>
        <v>11651.9943</v>
      </c>
    </row>
    <row r="495" spans="2:6" x14ac:dyDescent="0.25">
      <c r="B495" s="2">
        <v>0.45400000000000001</v>
      </c>
      <c r="E495" s="11">
        <f t="shared" si="14"/>
        <v>12589.282999999999</v>
      </c>
      <c r="F495" s="11">
        <f t="shared" si="15"/>
        <v>11649.027399999999</v>
      </c>
    </row>
    <row r="496" spans="2:6" x14ac:dyDescent="0.25">
      <c r="B496" s="2">
        <v>0.45500000000000002</v>
      </c>
      <c r="E496" s="11">
        <f t="shared" si="14"/>
        <v>12585.8475</v>
      </c>
      <c r="F496" s="11">
        <f t="shared" si="15"/>
        <v>11646.0605</v>
      </c>
    </row>
    <row r="497" spans="2:6" x14ac:dyDescent="0.25">
      <c r="B497" s="2">
        <v>0.45600000000000002</v>
      </c>
      <c r="E497" s="11">
        <f t="shared" si="14"/>
        <v>12582.412</v>
      </c>
      <c r="F497" s="11">
        <f t="shared" si="15"/>
        <v>11643.0936</v>
      </c>
    </row>
    <row r="498" spans="2:6" x14ac:dyDescent="0.25">
      <c r="B498" s="2">
        <v>0.45700000000000002</v>
      </c>
      <c r="E498" s="11">
        <f t="shared" si="14"/>
        <v>12578.976500000001</v>
      </c>
      <c r="F498" s="11">
        <f t="shared" si="15"/>
        <v>11640.126700000001</v>
      </c>
    </row>
    <row r="499" spans="2:6" x14ac:dyDescent="0.25">
      <c r="B499" s="2">
        <v>0.45800000000000002</v>
      </c>
      <c r="E499" s="11">
        <f t="shared" si="14"/>
        <v>12575.540999999999</v>
      </c>
      <c r="F499" s="11">
        <f t="shared" si="15"/>
        <v>11637.159799999999</v>
      </c>
    </row>
    <row r="500" spans="2:6" x14ac:dyDescent="0.25">
      <c r="B500" s="2">
        <v>0.45900000000000002</v>
      </c>
      <c r="E500" s="11">
        <f t="shared" si="14"/>
        <v>12572.1055</v>
      </c>
      <c r="F500" s="11">
        <f t="shared" si="15"/>
        <v>11634.1929</v>
      </c>
    </row>
    <row r="501" spans="2:6" x14ac:dyDescent="0.25">
      <c r="B501" s="2">
        <v>0.46</v>
      </c>
      <c r="E501" s="11">
        <f t="shared" si="14"/>
        <v>12568.67</v>
      </c>
      <c r="F501" s="11">
        <f t="shared" si="15"/>
        <v>11631.226000000001</v>
      </c>
    </row>
    <row r="502" spans="2:6" x14ac:dyDescent="0.25">
      <c r="B502" s="2">
        <v>0.46100000000000002</v>
      </c>
      <c r="E502" s="11">
        <f t="shared" si="14"/>
        <v>12565.2345</v>
      </c>
      <c r="F502" s="11">
        <f t="shared" si="15"/>
        <v>11628.259099999999</v>
      </c>
    </row>
    <row r="503" spans="2:6" x14ac:dyDescent="0.25">
      <c r="B503" s="2">
        <v>0.46200000000000002</v>
      </c>
      <c r="E503" s="11">
        <f t="shared" si="14"/>
        <v>12561.798999999999</v>
      </c>
      <c r="F503" s="11">
        <f t="shared" si="15"/>
        <v>11625.2922</v>
      </c>
    </row>
    <row r="504" spans="2:6" x14ac:dyDescent="0.25">
      <c r="B504" s="2">
        <v>0.46300000000000002</v>
      </c>
      <c r="E504" s="11">
        <f t="shared" si="14"/>
        <v>12558.363499999999</v>
      </c>
      <c r="F504" s="11">
        <f t="shared" si="15"/>
        <v>11622.3253</v>
      </c>
    </row>
    <row r="505" spans="2:6" x14ac:dyDescent="0.25">
      <c r="B505" s="2">
        <v>0.46400000000000002</v>
      </c>
      <c r="E505" s="11">
        <f t="shared" si="14"/>
        <v>12554.928</v>
      </c>
      <c r="F505" s="11">
        <f t="shared" si="15"/>
        <v>11619.358399999999</v>
      </c>
    </row>
    <row r="506" spans="2:6" x14ac:dyDescent="0.25">
      <c r="B506" s="2">
        <v>0.46500000000000002</v>
      </c>
      <c r="E506" s="11">
        <f t="shared" si="14"/>
        <v>12551.4925</v>
      </c>
      <c r="F506" s="11">
        <f t="shared" si="15"/>
        <v>11616.3915</v>
      </c>
    </row>
    <row r="507" spans="2:6" x14ac:dyDescent="0.25">
      <c r="B507" s="2">
        <v>0.46600000000000003</v>
      </c>
      <c r="E507" s="11">
        <f t="shared" si="14"/>
        <v>12548.057000000001</v>
      </c>
      <c r="F507" s="11">
        <f t="shared" si="15"/>
        <v>11613.4246</v>
      </c>
    </row>
    <row r="508" spans="2:6" x14ac:dyDescent="0.25">
      <c r="B508" s="2">
        <v>0.46700000000000003</v>
      </c>
      <c r="E508" s="11">
        <f t="shared" si="14"/>
        <v>12544.621499999999</v>
      </c>
      <c r="F508" s="11">
        <f t="shared" si="15"/>
        <v>11610.457699999999</v>
      </c>
    </row>
    <row r="509" spans="2:6" x14ac:dyDescent="0.25">
      <c r="B509" s="2">
        <v>0.46800000000000003</v>
      </c>
      <c r="E509" s="11">
        <f t="shared" si="14"/>
        <v>12541.186</v>
      </c>
      <c r="F509" s="11">
        <f t="shared" si="15"/>
        <v>11607.4908</v>
      </c>
    </row>
    <row r="510" spans="2:6" x14ac:dyDescent="0.25">
      <c r="B510" s="2">
        <v>0.46899999999999997</v>
      </c>
      <c r="E510" s="11">
        <f t="shared" si="14"/>
        <v>12537.7505</v>
      </c>
      <c r="F510" s="11">
        <f t="shared" si="15"/>
        <v>11604.5239</v>
      </c>
    </row>
    <row r="511" spans="2:6" x14ac:dyDescent="0.25">
      <c r="B511" s="2">
        <v>0.47</v>
      </c>
      <c r="E511" s="11">
        <f t="shared" si="14"/>
        <v>12534.315000000001</v>
      </c>
      <c r="F511" s="11">
        <f t="shared" si="15"/>
        <v>11601.557000000001</v>
      </c>
    </row>
    <row r="512" spans="2:6" x14ac:dyDescent="0.25">
      <c r="B512" s="2">
        <v>0.47099999999999997</v>
      </c>
      <c r="E512" s="11">
        <f t="shared" si="14"/>
        <v>12530.879499999999</v>
      </c>
      <c r="F512" s="11">
        <f t="shared" si="15"/>
        <v>11598.590099999999</v>
      </c>
    </row>
    <row r="513" spans="2:6" x14ac:dyDescent="0.25">
      <c r="B513" s="2">
        <v>0.47199999999999998</v>
      </c>
      <c r="E513" s="11">
        <f t="shared" si="14"/>
        <v>12527.444</v>
      </c>
      <c r="F513" s="11">
        <f t="shared" si="15"/>
        <v>11595.6232</v>
      </c>
    </row>
    <row r="514" spans="2:6" x14ac:dyDescent="0.25">
      <c r="B514" s="2">
        <v>0.47299999999999998</v>
      </c>
      <c r="E514" s="11">
        <f t="shared" si="14"/>
        <v>12524.0085</v>
      </c>
      <c r="F514" s="11">
        <f t="shared" si="15"/>
        <v>11592.656300000001</v>
      </c>
    </row>
    <row r="515" spans="2:6" x14ac:dyDescent="0.25">
      <c r="B515" s="2">
        <v>0.47399999999999998</v>
      </c>
      <c r="E515" s="11">
        <f t="shared" si="14"/>
        <v>12520.573</v>
      </c>
      <c r="F515" s="11">
        <f t="shared" si="15"/>
        <v>11589.689399999999</v>
      </c>
    </row>
    <row r="516" spans="2:6" x14ac:dyDescent="0.25">
      <c r="B516" s="2">
        <v>0.47499999999999998</v>
      </c>
      <c r="E516" s="11">
        <f t="shared" si="14"/>
        <v>12517.137500000001</v>
      </c>
      <c r="F516" s="11">
        <f t="shared" si="15"/>
        <v>11586.7225</v>
      </c>
    </row>
    <row r="517" spans="2:6" x14ac:dyDescent="0.25">
      <c r="B517" s="2">
        <v>0.47599999999999998</v>
      </c>
      <c r="E517" s="11">
        <f t="shared" si="14"/>
        <v>12513.701999999999</v>
      </c>
      <c r="F517" s="11">
        <f t="shared" si="15"/>
        <v>11583.7556</v>
      </c>
    </row>
    <row r="518" spans="2:6" x14ac:dyDescent="0.25">
      <c r="B518" s="2">
        <v>0.47699999999999998</v>
      </c>
      <c r="E518" s="11">
        <f t="shared" si="14"/>
        <v>12510.2665</v>
      </c>
      <c r="F518" s="11">
        <f t="shared" si="15"/>
        <v>11580.788700000001</v>
      </c>
    </row>
    <row r="519" spans="2:6" x14ac:dyDescent="0.25">
      <c r="B519" s="2">
        <v>0.47799999999999998</v>
      </c>
      <c r="E519" s="11">
        <f t="shared" si="14"/>
        <v>12506.831</v>
      </c>
      <c r="F519" s="11">
        <f t="shared" si="15"/>
        <v>11577.8218</v>
      </c>
    </row>
    <row r="520" spans="2:6" x14ac:dyDescent="0.25">
      <c r="B520" s="2">
        <v>0.47899999999999998</v>
      </c>
      <c r="E520" s="11">
        <f t="shared" si="14"/>
        <v>12503.395500000001</v>
      </c>
      <c r="F520" s="11">
        <f t="shared" si="15"/>
        <v>11574.8549</v>
      </c>
    </row>
    <row r="521" spans="2:6" x14ac:dyDescent="0.25">
      <c r="B521" s="2">
        <v>0.48</v>
      </c>
      <c r="E521" s="11">
        <f t="shared" si="14"/>
        <v>12499.96</v>
      </c>
      <c r="F521" s="11">
        <f t="shared" si="15"/>
        <v>11571.887999999999</v>
      </c>
    </row>
    <row r="522" spans="2:6" x14ac:dyDescent="0.25">
      <c r="B522" s="2">
        <v>0.48099999999999998</v>
      </c>
      <c r="E522" s="11">
        <f t="shared" si="14"/>
        <v>12496.5245</v>
      </c>
      <c r="F522" s="11">
        <f t="shared" si="15"/>
        <v>11568.9211</v>
      </c>
    </row>
    <row r="523" spans="2:6" x14ac:dyDescent="0.25">
      <c r="B523" s="2">
        <v>0.48199999999999998</v>
      </c>
      <c r="E523" s="11">
        <f t="shared" si="14"/>
        <v>12493.089</v>
      </c>
      <c r="F523" s="11">
        <f t="shared" si="15"/>
        <v>11565.9542</v>
      </c>
    </row>
    <row r="524" spans="2:6" x14ac:dyDescent="0.25">
      <c r="B524" s="2">
        <v>0.48299999999999998</v>
      </c>
      <c r="E524" s="11">
        <f t="shared" si="14"/>
        <v>12489.6535</v>
      </c>
      <c r="F524" s="11">
        <f t="shared" si="15"/>
        <v>11562.987300000001</v>
      </c>
    </row>
    <row r="525" spans="2:6" x14ac:dyDescent="0.25">
      <c r="B525" s="2">
        <v>0.48399999999999999</v>
      </c>
      <c r="E525" s="11">
        <f t="shared" si="14"/>
        <v>12486.218000000001</v>
      </c>
      <c r="F525" s="11">
        <f t="shared" si="15"/>
        <v>11560.020399999999</v>
      </c>
    </row>
    <row r="526" spans="2:6" x14ac:dyDescent="0.25">
      <c r="B526" s="2">
        <v>0.48499999999999999</v>
      </c>
      <c r="E526" s="11">
        <f t="shared" si="14"/>
        <v>12482.782499999999</v>
      </c>
      <c r="F526" s="11">
        <f t="shared" si="15"/>
        <v>11557.0535</v>
      </c>
    </row>
    <row r="527" spans="2:6" x14ac:dyDescent="0.25">
      <c r="B527" s="2">
        <v>0.48599999999999999</v>
      </c>
      <c r="E527" s="11">
        <f t="shared" si="14"/>
        <v>12479.347</v>
      </c>
      <c r="F527" s="11">
        <f t="shared" si="15"/>
        <v>11554.086600000001</v>
      </c>
    </row>
    <row r="528" spans="2:6" x14ac:dyDescent="0.25">
      <c r="B528" s="2">
        <v>0.48699999999999999</v>
      </c>
      <c r="E528" s="11">
        <f t="shared" si="14"/>
        <v>12475.9115</v>
      </c>
      <c r="F528" s="11">
        <f t="shared" si="15"/>
        <v>11551.119699999999</v>
      </c>
    </row>
    <row r="529" spans="2:6" x14ac:dyDescent="0.25">
      <c r="B529" s="2">
        <v>0.48799999999999999</v>
      </c>
      <c r="E529" s="11">
        <f t="shared" si="14"/>
        <v>12472.476000000001</v>
      </c>
      <c r="F529" s="11">
        <f t="shared" si="15"/>
        <v>11548.1528</v>
      </c>
    </row>
    <row r="530" spans="2:6" x14ac:dyDescent="0.25">
      <c r="B530" s="2">
        <v>0.48899999999999999</v>
      </c>
      <c r="E530" s="11">
        <f t="shared" si="14"/>
        <v>12469.040499999999</v>
      </c>
      <c r="F530" s="11">
        <f t="shared" si="15"/>
        <v>11545.1859</v>
      </c>
    </row>
    <row r="531" spans="2:6" x14ac:dyDescent="0.25">
      <c r="B531" s="2">
        <v>0.49</v>
      </c>
      <c r="E531" s="11">
        <f t="shared" si="14"/>
        <v>12465.605</v>
      </c>
      <c r="F531" s="11">
        <f t="shared" si="15"/>
        <v>11542.219000000001</v>
      </c>
    </row>
    <row r="532" spans="2:6" x14ac:dyDescent="0.25">
      <c r="B532" s="2">
        <v>0.49099999999999999</v>
      </c>
      <c r="E532" s="11">
        <f t="shared" si="14"/>
        <v>12462.1695</v>
      </c>
      <c r="F532" s="11">
        <f t="shared" si="15"/>
        <v>11539.2521</v>
      </c>
    </row>
    <row r="533" spans="2:6" x14ac:dyDescent="0.25">
      <c r="B533" s="2">
        <v>0.49199999999999999</v>
      </c>
      <c r="E533" s="11">
        <f t="shared" si="14"/>
        <v>12458.734</v>
      </c>
      <c r="F533" s="11">
        <f t="shared" si="15"/>
        <v>11536.2852</v>
      </c>
    </row>
    <row r="534" spans="2:6" x14ac:dyDescent="0.25">
      <c r="B534" s="2">
        <v>0.49299999999999999</v>
      </c>
      <c r="E534" s="11">
        <f t="shared" si="14"/>
        <v>12455.298500000001</v>
      </c>
      <c r="F534" s="11">
        <f t="shared" si="15"/>
        <v>11533.318299999999</v>
      </c>
    </row>
    <row r="535" spans="2:6" x14ac:dyDescent="0.25">
      <c r="B535" s="2">
        <v>0.49399999999999999</v>
      </c>
      <c r="E535" s="11">
        <f t="shared" si="14"/>
        <v>12451.862999999999</v>
      </c>
      <c r="F535" s="11">
        <f t="shared" si="15"/>
        <v>11530.3514</v>
      </c>
    </row>
  </sheetData>
  <mergeCells count="2">
    <mergeCell ref="A38:I39"/>
    <mergeCell ref="B8:D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496"/>
  <sheetViews>
    <sheetView workbookViewId="0">
      <selection sqref="A1:N1"/>
    </sheetView>
  </sheetViews>
  <sheetFormatPr defaultRowHeight="15" x14ac:dyDescent="0.25"/>
  <cols>
    <col min="2" max="2" width="13.5703125" customWidth="1"/>
    <col min="5" max="5" width="17.140625" customWidth="1"/>
    <col min="6" max="6" width="15.5703125" customWidth="1"/>
    <col min="9" max="9" width="11.85546875" customWidth="1"/>
    <col min="10" max="10" width="12.5703125" customWidth="1"/>
  </cols>
  <sheetData>
    <row r="1" spans="2:10" ht="75" x14ac:dyDescent="0.25">
      <c r="B1" s="2" t="s">
        <v>16</v>
      </c>
      <c r="C1" s="2" t="s">
        <v>3</v>
      </c>
      <c r="D1" s="2" t="s">
        <v>0</v>
      </c>
      <c r="E1" s="2" t="s">
        <v>1</v>
      </c>
      <c r="F1" s="2" t="s">
        <v>2</v>
      </c>
      <c r="G1" s="2" t="s">
        <v>9</v>
      </c>
      <c r="H1" s="2" t="s">
        <v>10</v>
      </c>
      <c r="I1" s="2" t="s">
        <v>11</v>
      </c>
      <c r="J1" s="2" t="s">
        <v>12</v>
      </c>
    </row>
    <row r="2" spans="2:10" x14ac:dyDescent="0.25">
      <c r="B2" s="2">
        <v>0</v>
      </c>
      <c r="C2" s="2"/>
      <c r="D2" s="4"/>
      <c r="E2" s="11">
        <f xml:space="preserve"> -3604.6*B2 + 10236</f>
        <v>10236</v>
      </c>
      <c r="F2" s="11">
        <f xml:space="preserve"> -2365.1*B2 + 7665</f>
        <v>7665</v>
      </c>
      <c r="G2" s="13">
        <v>12651</v>
      </c>
      <c r="H2" s="13">
        <v>9746</v>
      </c>
      <c r="I2" s="11">
        <f xml:space="preserve"> -3604.6*B2 + 10236</f>
        <v>10236</v>
      </c>
      <c r="J2" s="11">
        <f xml:space="preserve"> -2365.1*B2 + 7665</f>
        <v>7665</v>
      </c>
    </row>
    <row r="3" spans="2:10" x14ac:dyDescent="0.25">
      <c r="B3" s="2">
        <v>1E-3</v>
      </c>
      <c r="D3" s="4"/>
      <c r="E3" s="11">
        <f t="shared" ref="E3:E66" si="0" xml:space="preserve"> -3604.6*B3 + 10236</f>
        <v>10232.395399999999</v>
      </c>
      <c r="F3" s="11">
        <f t="shared" ref="F3:F66" si="1" xml:space="preserve"> -2365.1*B3 + 7665</f>
        <v>7662.6349</v>
      </c>
      <c r="I3" s="13"/>
      <c r="J3" s="13"/>
    </row>
    <row r="4" spans="2:10" x14ac:dyDescent="0.25">
      <c r="B4" s="2">
        <v>2E-3</v>
      </c>
      <c r="D4" s="4"/>
      <c r="E4" s="11">
        <f t="shared" si="0"/>
        <v>10228.790800000001</v>
      </c>
      <c r="F4" s="11">
        <f t="shared" si="1"/>
        <v>7660.2698</v>
      </c>
    </row>
    <row r="5" spans="2:10" x14ac:dyDescent="0.25">
      <c r="B5" s="2">
        <v>3.0000000000000001E-3</v>
      </c>
      <c r="D5" s="4"/>
      <c r="E5" s="11">
        <f t="shared" si="0"/>
        <v>10225.1862</v>
      </c>
      <c r="F5" s="11">
        <f t="shared" si="1"/>
        <v>7657.9047</v>
      </c>
    </row>
    <row r="6" spans="2:10" x14ac:dyDescent="0.25">
      <c r="B6" s="2">
        <v>4.0000000000000001E-3</v>
      </c>
      <c r="D6" s="4"/>
      <c r="E6" s="11">
        <f t="shared" si="0"/>
        <v>10221.5816</v>
      </c>
      <c r="F6" s="11">
        <f t="shared" si="1"/>
        <v>7655.5396000000001</v>
      </c>
      <c r="H6" s="13"/>
    </row>
    <row r="7" spans="2:10" x14ac:dyDescent="0.25">
      <c r="B7" s="2">
        <v>5.0000000000000001E-3</v>
      </c>
      <c r="D7" s="4"/>
      <c r="E7" s="11">
        <f t="shared" si="0"/>
        <v>10217.977000000001</v>
      </c>
      <c r="F7" s="11">
        <f t="shared" si="1"/>
        <v>7653.1745000000001</v>
      </c>
    </row>
    <row r="8" spans="2:10" x14ac:dyDescent="0.25">
      <c r="B8" s="2">
        <v>6.0000000000000001E-3</v>
      </c>
      <c r="D8" s="4"/>
      <c r="E8" s="11">
        <f t="shared" si="0"/>
        <v>10214.3724</v>
      </c>
      <c r="F8" s="11">
        <f t="shared" si="1"/>
        <v>7650.8094000000001</v>
      </c>
    </row>
    <row r="9" spans="2:10" x14ac:dyDescent="0.25">
      <c r="B9" s="2">
        <v>7.0000000000000001E-3</v>
      </c>
      <c r="D9" s="4"/>
      <c r="E9" s="11">
        <f t="shared" si="0"/>
        <v>10210.7678</v>
      </c>
      <c r="F9" s="11">
        <f t="shared" si="1"/>
        <v>7648.4443000000001</v>
      </c>
    </row>
    <row r="10" spans="2:10" x14ac:dyDescent="0.25">
      <c r="B10" s="2">
        <v>8.0000000000000002E-3</v>
      </c>
      <c r="D10" s="4"/>
      <c r="E10" s="11">
        <f t="shared" si="0"/>
        <v>10207.163200000001</v>
      </c>
      <c r="F10" s="11">
        <f t="shared" si="1"/>
        <v>7646.0792000000001</v>
      </c>
    </row>
    <row r="11" spans="2:10" x14ac:dyDescent="0.25">
      <c r="B11" s="2">
        <v>8.9999999999999993E-3</v>
      </c>
      <c r="D11" s="4"/>
      <c r="E11" s="11">
        <f t="shared" si="0"/>
        <v>10203.5586</v>
      </c>
      <c r="F11" s="11">
        <f t="shared" si="1"/>
        <v>7643.7141000000001</v>
      </c>
    </row>
    <row r="12" spans="2:10" x14ac:dyDescent="0.25">
      <c r="B12" s="2">
        <v>0.01</v>
      </c>
      <c r="D12" s="4"/>
      <c r="E12" s="11">
        <f t="shared" si="0"/>
        <v>10199.954</v>
      </c>
      <c r="F12" s="11">
        <f t="shared" si="1"/>
        <v>7641.3490000000002</v>
      </c>
    </row>
    <row r="13" spans="2:10" x14ac:dyDescent="0.25">
      <c r="B13" s="2">
        <v>1.0999999999999999E-2</v>
      </c>
      <c r="D13" s="4"/>
      <c r="E13" s="11">
        <f t="shared" si="0"/>
        <v>10196.349399999999</v>
      </c>
      <c r="F13" s="11">
        <f t="shared" si="1"/>
        <v>7638.9839000000002</v>
      </c>
    </row>
    <row r="14" spans="2:10" x14ac:dyDescent="0.25">
      <c r="B14" s="2">
        <v>1.2E-2</v>
      </c>
      <c r="D14" s="4"/>
      <c r="E14" s="11">
        <f t="shared" si="0"/>
        <v>10192.7448</v>
      </c>
      <c r="F14" s="11">
        <f t="shared" si="1"/>
        <v>7636.6188000000002</v>
      </c>
    </row>
    <row r="15" spans="2:10" x14ac:dyDescent="0.25">
      <c r="B15" s="2">
        <v>1.2999999999999999E-2</v>
      </c>
      <c r="D15" s="4"/>
      <c r="E15" s="11">
        <f t="shared" si="0"/>
        <v>10189.1402</v>
      </c>
      <c r="F15" s="11">
        <f t="shared" si="1"/>
        <v>7634.2537000000002</v>
      </c>
    </row>
    <row r="16" spans="2:10" x14ac:dyDescent="0.25">
      <c r="B16" s="2">
        <v>1.4E-2</v>
      </c>
      <c r="D16" s="4"/>
      <c r="E16" s="11">
        <f t="shared" si="0"/>
        <v>10185.535599999999</v>
      </c>
      <c r="F16" s="11">
        <f t="shared" si="1"/>
        <v>7631.8886000000002</v>
      </c>
    </row>
    <row r="17" spans="2:6" x14ac:dyDescent="0.25">
      <c r="B17" s="2">
        <v>1.4999999999999999E-2</v>
      </c>
      <c r="D17" s="4"/>
      <c r="E17" s="11">
        <f t="shared" si="0"/>
        <v>10181.931</v>
      </c>
      <c r="F17" s="11">
        <f t="shared" si="1"/>
        <v>7629.5235000000002</v>
      </c>
    </row>
    <row r="18" spans="2:6" x14ac:dyDescent="0.25">
      <c r="B18" s="2">
        <v>1.6E-2</v>
      </c>
      <c r="D18" s="4"/>
      <c r="E18" s="11">
        <f t="shared" si="0"/>
        <v>10178.3264</v>
      </c>
      <c r="F18" s="11">
        <f t="shared" si="1"/>
        <v>7627.1584000000003</v>
      </c>
    </row>
    <row r="19" spans="2:6" x14ac:dyDescent="0.25">
      <c r="B19" s="2">
        <v>1.7000000000000001E-2</v>
      </c>
      <c r="D19" s="4"/>
      <c r="E19" s="11">
        <f t="shared" si="0"/>
        <v>10174.721799999999</v>
      </c>
      <c r="F19" s="11">
        <f t="shared" si="1"/>
        <v>7624.7933000000003</v>
      </c>
    </row>
    <row r="20" spans="2:6" x14ac:dyDescent="0.25">
      <c r="B20" s="2">
        <v>1.7999999999999999E-2</v>
      </c>
      <c r="D20" s="4"/>
      <c r="E20" s="11">
        <f t="shared" si="0"/>
        <v>10171.117200000001</v>
      </c>
      <c r="F20" s="11">
        <f t="shared" si="1"/>
        <v>7622.4282000000003</v>
      </c>
    </row>
    <row r="21" spans="2:6" x14ac:dyDescent="0.25">
      <c r="B21" s="2">
        <v>1.9E-2</v>
      </c>
      <c r="D21" s="4"/>
      <c r="E21" s="11">
        <f t="shared" si="0"/>
        <v>10167.5126</v>
      </c>
      <c r="F21" s="11">
        <f t="shared" si="1"/>
        <v>7620.0631000000003</v>
      </c>
    </row>
    <row r="22" spans="2:6" x14ac:dyDescent="0.25">
      <c r="B22" s="2">
        <v>0.02</v>
      </c>
      <c r="D22" s="4"/>
      <c r="E22" s="11">
        <f t="shared" si="0"/>
        <v>10163.907999999999</v>
      </c>
      <c r="F22" s="11">
        <f t="shared" si="1"/>
        <v>7617.6980000000003</v>
      </c>
    </row>
    <row r="23" spans="2:6" x14ac:dyDescent="0.25">
      <c r="B23" s="2">
        <v>2.1000000000000001E-2</v>
      </c>
      <c r="D23" s="4"/>
      <c r="E23" s="11">
        <f t="shared" si="0"/>
        <v>10160.303400000001</v>
      </c>
      <c r="F23" s="11">
        <f t="shared" si="1"/>
        <v>7615.3329000000003</v>
      </c>
    </row>
    <row r="24" spans="2:6" x14ac:dyDescent="0.25">
      <c r="B24" s="2">
        <v>2.1999999999999999E-2</v>
      </c>
      <c r="D24" s="4"/>
      <c r="E24" s="11">
        <f t="shared" si="0"/>
        <v>10156.6988</v>
      </c>
      <c r="F24" s="11">
        <f t="shared" si="1"/>
        <v>7612.9678000000004</v>
      </c>
    </row>
    <row r="25" spans="2:6" x14ac:dyDescent="0.25">
      <c r="B25" s="2">
        <v>2.3E-2</v>
      </c>
      <c r="D25" s="4"/>
      <c r="E25" s="11">
        <f t="shared" si="0"/>
        <v>10153.0942</v>
      </c>
      <c r="F25" s="11">
        <f t="shared" si="1"/>
        <v>7610.6027000000004</v>
      </c>
    </row>
    <row r="26" spans="2:6" x14ac:dyDescent="0.25">
      <c r="B26" s="2">
        <v>2.4E-2</v>
      </c>
      <c r="D26" s="4"/>
      <c r="E26" s="11">
        <f t="shared" si="0"/>
        <v>10149.489600000001</v>
      </c>
      <c r="F26" s="11">
        <f t="shared" si="1"/>
        <v>7608.2376000000004</v>
      </c>
    </row>
    <row r="27" spans="2:6" x14ac:dyDescent="0.25">
      <c r="B27" s="2">
        <v>2.5000000000000001E-2</v>
      </c>
      <c r="D27" s="4"/>
      <c r="E27" s="11">
        <f t="shared" si="0"/>
        <v>10145.885</v>
      </c>
      <c r="F27" s="11">
        <f t="shared" si="1"/>
        <v>7605.8725000000004</v>
      </c>
    </row>
    <row r="28" spans="2:6" x14ac:dyDescent="0.25">
      <c r="B28" s="2">
        <v>2.5999999999999999E-2</v>
      </c>
      <c r="D28" s="4"/>
      <c r="E28" s="11">
        <f t="shared" si="0"/>
        <v>10142.2804</v>
      </c>
      <c r="F28" s="11">
        <f t="shared" si="1"/>
        <v>7603.5074000000004</v>
      </c>
    </row>
    <row r="29" spans="2:6" x14ac:dyDescent="0.25">
      <c r="B29" s="2">
        <v>2.7E-2</v>
      </c>
      <c r="D29" s="4"/>
      <c r="E29" s="11">
        <f t="shared" si="0"/>
        <v>10138.675800000001</v>
      </c>
      <c r="F29" s="11">
        <f t="shared" si="1"/>
        <v>7601.1423000000004</v>
      </c>
    </row>
    <row r="30" spans="2:6" x14ac:dyDescent="0.25">
      <c r="B30" s="2">
        <v>2.8000000000000001E-2</v>
      </c>
      <c r="D30" s="4"/>
      <c r="E30" s="11">
        <f t="shared" si="0"/>
        <v>10135.0712</v>
      </c>
      <c r="F30" s="11">
        <f t="shared" si="1"/>
        <v>7598.7772000000004</v>
      </c>
    </row>
    <row r="31" spans="2:6" x14ac:dyDescent="0.25">
      <c r="B31" s="2">
        <v>2.9000000000000001E-2</v>
      </c>
      <c r="D31" s="4"/>
      <c r="E31" s="11">
        <f t="shared" si="0"/>
        <v>10131.4666</v>
      </c>
      <c r="F31" s="11">
        <f t="shared" si="1"/>
        <v>7596.4120999999996</v>
      </c>
    </row>
    <row r="32" spans="2:6" x14ac:dyDescent="0.25">
      <c r="B32" s="2">
        <v>0.03</v>
      </c>
      <c r="D32" s="4"/>
      <c r="E32" s="11">
        <f t="shared" si="0"/>
        <v>10127.861999999999</v>
      </c>
      <c r="F32" s="11">
        <f t="shared" si="1"/>
        <v>7594.0469999999996</v>
      </c>
    </row>
    <row r="33" spans="2:6" x14ac:dyDescent="0.25">
      <c r="B33" s="2">
        <v>3.1E-2</v>
      </c>
      <c r="D33" s="4"/>
      <c r="E33" s="11">
        <f t="shared" si="0"/>
        <v>10124.2574</v>
      </c>
      <c r="F33" s="11">
        <f t="shared" si="1"/>
        <v>7591.6818999999996</v>
      </c>
    </row>
    <row r="34" spans="2:6" x14ac:dyDescent="0.25">
      <c r="B34" s="2">
        <v>3.2000000000000001E-2</v>
      </c>
      <c r="D34" s="4"/>
      <c r="E34" s="11">
        <f t="shared" si="0"/>
        <v>10120.6528</v>
      </c>
      <c r="F34" s="11">
        <f t="shared" si="1"/>
        <v>7589.3167999999996</v>
      </c>
    </row>
    <row r="35" spans="2:6" x14ac:dyDescent="0.25">
      <c r="B35" s="2">
        <v>3.3000000000000002E-2</v>
      </c>
      <c r="D35" s="4"/>
      <c r="E35" s="11">
        <f t="shared" si="0"/>
        <v>10117.048199999999</v>
      </c>
      <c r="F35" s="11">
        <f t="shared" si="1"/>
        <v>7586.9516999999996</v>
      </c>
    </row>
    <row r="36" spans="2:6" x14ac:dyDescent="0.25">
      <c r="B36" s="2">
        <v>3.4000000000000002E-2</v>
      </c>
      <c r="D36" s="4"/>
      <c r="E36" s="11">
        <f t="shared" si="0"/>
        <v>10113.443600000001</v>
      </c>
      <c r="F36" s="11">
        <f t="shared" si="1"/>
        <v>7584.5865999999996</v>
      </c>
    </row>
    <row r="37" spans="2:6" x14ac:dyDescent="0.25">
      <c r="B37" s="2">
        <v>3.5000000000000003E-2</v>
      </c>
      <c r="D37" s="4"/>
      <c r="E37" s="11">
        <f t="shared" si="0"/>
        <v>10109.839</v>
      </c>
      <c r="F37" s="11">
        <f t="shared" si="1"/>
        <v>7582.2214999999997</v>
      </c>
    </row>
    <row r="38" spans="2:6" x14ac:dyDescent="0.25">
      <c r="B38" s="2">
        <v>3.5999999999999997E-2</v>
      </c>
      <c r="D38" s="4"/>
      <c r="E38" s="11">
        <f t="shared" si="0"/>
        <v>10106.234399999999</v>
      </c>
      <c r="F38" s="11">
        <f t="shared" si="1"/>
        <v>7579.8563999999997</v>
      </c>
    </row>
    <row r="39" spans="2:6" x14ac:dyDescent="0.25">
      <c r="B39" s="2">
        <v>3.6999999999999998E-2</v>
      </c>
      <c r="D39" s="4"/>
      <c r="E39" s="11">
        <f t="shared" si="0"/>
        <v>10102.629800000001</v>
      </c>
      <c r="F39" s="11">
        <f t="shared" si="1"/>
        <v>7577.4912999999997</v>
      </c>
    </row>
    <row r="40" spans="2:6" x14ac:dyDescent="0.25">
      <c r="B40" s="2">
        <v>3.7999999999999999E-2</v>
      </c>
      <c r="D40" s="4"/>
      <c r="E40" s="11">
        <f t="shared" si="0"/>
        <v>10099.0252</v>
      </c>
      <c r="F40" s="11">
        <f t="shared" si="1"/>
        <v>7575.1261999999997</v>
      </c>
    </row>
    <row r="41" spans="2:6" x14ac:dyDescent="0.25">
      <c r="B41" s="2">
        <v>3.9E-2</v>
      </c>
      <c r="D41" s="4"/>
      <c r="E41" s="11">
        <f t="shared" si="0"/>
        <v>10095.420599999999</v>
      </c>
      <c r="F41" s="11">
        <f t="shared" si="1"/>
        <v>7572.7610999999997</v>
      </c>
    </row>
    <row r="42" spans="2:6" x14ac:dyDescent="0.25">
      <c r="B42" s="2">
        <v>0.04</v>
      </c>
      <c r="D42" s="4"/>
      <c r="E42" s="11">
        <f t="shared" si="0"/>
        <v>10091.816000000001</v>
      </c>
      <c r="F42" s="11">
        <f t="shared" si="1"/>
        <v>7570.3959999999997</v>
      </c>
    </row>
    <row r="43" spans="2:6" x14ac:dyDescent="0.25">
      <c r="B43" s="2">
        <v>4.1000000000000002E-2</v>
      </c>
      <c r="D43" s="4"/>
      <c r="E43" s="11">
        <f t="shared" si="0"/>
        <v>10088.2114</v>
      </c>
      <c r="F43" s="11">
        <f t="shared" si="1"/>
        <v>7568.0308999999997</v>
      </c>
    </row>
    <row r="44" spans="2:6" x14ac:dyDescent="0.25">
      <c r="B44" s="2">
        <v>4.2000000000000003E-2</v>
      </c>
      <c r="D44" s="4"/>
      <c r="E44" s="11">
        <f t="shared" si="0"/>
        <v>10084.6068</v>
      </c>
      <c r="F44" s="11">
        <f t="shared" si="1"/>
        <v>7565.6657999999998</v>
      </c>
    </row>
    <row r="45" spans="2:6" x14ac:dyDescent="0.25">
      <c r="B45" s="2">
        <v>4.2999999999999997E-2</v>
      </c>
      <c r="D45" s="4"/>
      <c r="E45" s="11">
        <f t="shared" si="0"/>
        <v>10081.002200000001</v>
      </c>
      <c r="F45" s="11">
        <f t="shared" si="1"/>
        <v>7563.3006999999998</v>
      </c>
    </row>
    <row r="46" spans="2:6" x14ac:dyDescent="0.25">
      <c r="B46" s="2">
        <v>4.3999999999999997E-2</v>
      </c>
      <c r="D46" s="4"/>
      <c r="E46" s="11">
        <f t="shared" si="0"/>
        <v>10077.3976</v>
      </c>
      <c r="F46" s="11">
        <f t="shared" si="1"/>
        <v>7560.9355999999998</v>
      </c>
    </row>
    <row r="47" spans="2:6" x14ac:dyDescent="0.25">
      <c r="B47" s="2">
        <v>4.4999999999999998E-2</v>
      </c>
      <c r="D47" s="4"/>
      <c r="E47" s="11">
        <f t="shared" si="0"/>
        <v>10073.793</v>
      </c>
      <c r="F47" s="11">
        <f t="shared" si="1"/>
        <v>7558.5704999999998</v>
      </c>
    </row>
    <row r="48" spans="2:6" x14ac:dyDescent="0.25">
      <c r="B48" s="2">
        <v>4.5999999999999999E-2</v>
      </c>
      <c r="D48" s="4"/>
      <c r="E48" s="11">
        <f t="shared" si="0"/>
        <v>10070.188399999999</v>
      </c>
      <c r="F48" s="11">
        <f t="shared" si="1"/>
        <v>7556.2053999999998</v>
      </c>
    </row>
    <row r="49" spans="2:6" x14ac:dyDescent="0.25">
      <c r="B49" s="2">
        <v>4.7E-2</v>
      </c>
      <c r="D49" s="4"/>
      <c r="E49" s="11">
        <f t="shared" si="0"/>
        <v>10066.5838</v>
      </c>
      <c r="F49" s="11">
        <f t="shared" si="1"/>
        <v>7553.8402999999998</v>
      </c>
    </row>
    <row r="50" spans="2:6" x14ac:dyDescent="0.25">
      <c r="B50" s="2">
        <v>4.8000000000000001E-2</v>
      </c>
      <c r="D50" s="4"/>
      <c r="E50" s="11">
        <f t="shared" si="0"/>
        <v>10062.9792</v>
      </c>
      <c r="F50" s="11">
        <f t="shared" si="1"/>
        <v>7551.4751999999999</v>
      </c>
    </row>
    <row r="51" spans="2:6" x14ac:dyDescent="0.25">
      <c r="B51" s="2">
        <v>4.9000000000000002E-2</v>
      </c>
      <c r="D51" s="4"/>
      <c r="E51" s="11">
        <f t="shared" si="0"/>
        <v>10059.374599999999</v>
      </c>
      <c r="F51" s="11">
        <f t="shared" si="1"/>
        <v>7549.1100999999999</v>
      </c>
    </row>
    <row r="52" spans="2:6" x14ac:dyDescent="0.25">
      <c r="B52" s="2">
        <v>0.05</v>
      </c>
      <c r="D52" s="4"/>
      <c r="E52" s="11">
        <f t="shared" si="0"/>
        <v>10055.77</v>
      </c>
      <c r="F52" s="11">
        <f t="shared" si="1"/>
        <v>7546.7449999999999</v>
      </c>
    </row>
    <row r="53" spans="2:6" x14ac:dyDescent="0.25">
      <c r="B53" s="2">
        <v>5.0999999999999997E-2</v>
      </c>
      <c r="D53" s="4"/>
      <c r="E53" s="11">
        <f t="shared" si="0"/>
        <v>10052.1654</v>
      </c>
      <c r="F53" s="11">
        <f t="shared" si="1"/>
        <v>7544.3798999999999</v>
      </c>
    </row>
    <row r="54" spans="2:6" x14ac:dyDescent="0.25">
      <c r="B54" s="2">
        <v>5.1999999999999998E-2</v>
      </c>
      <c r="D54" s="4"/>
      <c r="E54" s="11">
        <f t="shared" si="0"/>
        <v>10048.560799999999</v>
      </c>
      <c r="F54" s="11">
        <f t="shared" si="1"/>
        <v>7542.0147999999999</v>
      </c>
    </row>
    <row r="55" spans="2:6" x14ac:dyDescent="0.25">
      <c r="B55" s="2">
        <v>5.2999999999999999E-2</v>
      </c>
      <c r="D55" s="4"/>
      <c r="E55" s="11">
        <f t="shared" si="0"/>
        <v>10044.956200000001</v>
      </c>
      <c r="F55" s="11">
        <f t="shared" si="1"/>
        <v>7539.6496999999999</v>
      </c>
    </row>
    <row r="56" spans="2:6" x14ac:dyDescent="0.25">
      <c r="B56" s="2">
        <v>5.3999999999999999E-2</v>
      </c>
      <c r="D56" s="4"/>
      <c r="E56" s="11">
        <f t="shared" si="0"/>
        <v>10041.3516</v>
      </c>
      <c r="F56" s="11">
        <f t="shared" si="1"/>
        <v>7537.2846</v>
      </c>
    </row>
    <row r="57" spans="2:6" x14ac:dyDescent="0.25">
      <c r="B57" s="2">
        <v>5.5E-2</v>
      </c>
      <c r="D57" s="4"/>
      <c r="E57" s="11">
        <f t="shared" si="0"/>
        <v>10037.746999999999</v>
      </c>
      <c r="F57" s="11">
        <f t="shared" si="1"/>
        <v>7534.9195</v>
      </c>
    </row>
    <row r="58" spans="2:6" x14ac:dyDescent="0.25">
      <c r="B58" s="2">
        <v>5.6000000000000001E-2</v>
      </c>
      <c r="D58" s="4"/>
      <c r="E58" s="11">
        <f t="shared" si="0"/>
        <v>10034.142400000001</v>
      </c>
      <c r="F58" s="11">
        <f t="shared" si="1"/>
        <v>7532.5544</v>
      </c>
    </row>
    <row r="59" spans="2:6" x14ac:dyDescent="0.25">
      <c r="B59" s="2">
        <v>5.7000000000000002E-2</v>
      </c>
      <c r="D59" s="4"/>
      <c r="E59" s="11">
        <f t="shared" si="0"/>
        <v>10030.5378</v>
      </c>
      <c r="F59" s="11">
        <f t="shared" si="1"/>
        <v>7530.1893</v>
      </c>
    </row>
    <row r="60" spans="2:6" x14ac:dyDescent="0.25">
      <c r="B60" s="2">
        <v>5.8000000000000003E-2</v>
      </c>
      <c r="D60" s="4"/>
      <c r="E60" s="11">
        <f t="shared" si="0"/>
        <v>10026.933199999999</v>
      </c>
      <c r="F60" s="11">
        <f t="shared" si="1"/>
        <v>7527.8242</v>
      </c>
    </row>
    <row r="61" spans="2:6" x14ac:dyDescent="0.25">
      <c r="B61" s="2">
        <v>5.8999999999999997E-2</v>
      </c>
      <c r="D61" s="4"/>
      <c r="E61" s="11">
        <f t="shared" si="0"/>
        <v>10023.328600000001</v>
      </c>
      <c r="F61" s="11">
        <f t="shared" si="1"/>
        <v>7525.4591</v>
      </c>
    </row>
    <row r="62" spans="2:6" x14ac:dyDescent="0.25">
      <c r="B62" s="2">
        <v>0.06</v>
      </c>
      <c r="D62" s="4"/>
      <c r="E62" s="11">
        <f t="shared" si="0"/>
        <v>10019.724</v>
      </c>
      <c r="F62" s="11">
        <f t="shared" si="1"/>
        <v>7523.0940000000001</v>
      </c>
    </row>
    <row r="63" spans="2:6" x14ac:dyDescent="0.25">
      <c r="B63" s="2">
        <v>6.0999999999999999E-2</v>
      </c>
      <c r="D63" s="4"/>
      <c r="E63" s="11">
        <f t="shared" si="0"/>
        <v>10016.1194</v>
      </c>
      <c r="F63" s="11">
        <f t="shared" si="1"/>
        <v>7520.7289000000001</v>
      </c>
    </row>
    <row r="64" spans="2:6" x14ac:dyDescent="0.25">
      <c r="B64" s="2">
        <v>6.2E-2</v>
      </c>
      <c r="D64" s="4"/>
      <c r="E64" s="11">
        <f t="shared" si="0"/>
        <v>10012.514800000001</v>
      </c>
      <c r="F64" s="11">
        <f t="shared" si="1"/>
        <v>7518.3638000000001</v>
      </c>
    </row>
    <row r="65" spans="2:6" x14ac:dyDescent="0.25">
      <c r="B65" s="2">
        <v>6.3E-2</v>
      </c>
      <c r="D65" s="4"/>
      <c r="E65" s="11">
        <f t="shared" si="0"/>
        <v>10008.9102</v>
      </c>
      <c r="F65" s="11">
        <f t="shared" si="1"/>
        <v>7515.9987000000001</v>
      </c>
    </row>
    <row r="66" spans="2:6" x14ac:dyDescent="0.25">
      <c r="B66" s="2">
        <v>6.4000000000000001E-2</v>
      </c>
      <c r="D66" s="4"/>
      <c r="E66" s="11">
        <f t="shared" si="0"/>
        <v>10005.3056</v>
      </c>
      <c r="F66" s="11">
        <f t="shared" si="1"/>
        <v>7513.6336000000001</v>
      </c>
    </row>
    <row r="67" spans="2:6" x14ac:dyDescent="0.25">
      <c r="B67" s="2">
        <v>6.5000000000000002E-2</v>
      </c>
      <c r="D67" s="4"/>
      <c r="E67" s="11">
        <f t="shared" ref="E67:E130" si="2" xml:space="preserve"> -3604.6*B67 + 10236</f>
        <v>10001.700999999999</v>
      </c>
      <c r="F67" s="11">
        <f t="shared" ref="F67:F130" si="3" xml:space="preserve"> -2365.1*B67 + 7665</f>
        <v>7511.2685000000001</v>
      </c>
    </row>
    <row r="68" spans="2:6" x14ac:dyDescent="0.25">
      <c r="B68" s="2">
        <v>6.6000000000000003E-2</v>
      </c>
      <c r="D68" s="4"/>
      <c r="E68" s="11">
        <f t="shared" si="2"/>
        <v>9998.0964000000004</v>
      </c>
      <c r="F68" s="11">
        <f t="shared" si="3"/>
        <v>7508.9034000000001</v>
      </c>
    </row>
    <row r="69" spans="2:6" x14ac:dyDescent="0.25">
      <c r="B69" s="2">
        <v>6.7000000000000004E-2</v>
      </c>
      <c r="D69" s="4"/>
      <c r="E69" s="11">
        <f t="shared" si="2"/>
        <v>9994.4917999999998</v>
      </c>
      <c r="F69" s="11">
        <f t="shared" si="3"/>
        <v>7506.5383000000002</v>
      </c>
    </row>
    <row r="70" spans="2:6" x14ac:dyDescent="0.25">
      <c r="B70" s="2">
        <v>6.8000000000000005E-2</v>
      </c>
      <c r="D70" s="4"/>
      <c r="E70" s="11">
        <f t="shared" si="2"/>
        <v>9990.8871999999992</v>
      </c>
      <c r="F70" s="11">
        <f t="shared" si="3"/>
        <v>7504.1732000000002</v>
      </c>
    </row>
    <row r="71" spans="2:6" x14ac:dyDescent="0.25">
      <c r="B71" s="2">
        <v>6.9000000000000006E-2</v>
      </c>
      <c r="D71" s="4"/>
      <c r="E71" s="11">
        <f t="shared" si="2"/>
        <v>9987.2826000000005</v>
      </c>
      <c r="F71" s="11">
        <f t="shared" si="3"/>
        <v>7501.8081000000002</v>
      </c>
    </row>
    <row r="72" spans="2:6" x14ac:dyDescent="0.25">
      <c r="B72" s="2">
        <v>7.0000000000000007E-2</v>
      </c>
      <c r="D72" s="4"/>
      <c r="E72" s="11">
        <f t="shared" si="2"/>
        <v>9983.6779999999999</v>
      </c>
      <c r="F72" s="11">
        <f t="shared" si="3"/>
        <v>7499.4430000000002</v>
      </c>
    </row>
    <row r="73" spans="2:6" x14ac:dyDescent="0.25">
      <c r="B73" s="2">
        <v>7.0999999999999994E-2</v>
      </c>
      <c r="D73" s="4"/>
      <c r="E73" s="11">
        <f t="shared" si="2"/>
        <v>9980.0733999999993</v>
      </c>
      <c r="F73" s="11">
        <f t="shared" si="3"/>
        <v>7497.0779000000002</v>
      </c>
    </row>
    <row r="74" spans="2:6" x14ac:dyDescent="0.25">
      <c r="B74" s="2">
        <v>7.1999999999999995E-2</v>
      </c>
      <c r="D74" s="4"/>
      <c r="E74" s="11">
        <f t="shared" si="2"/>
        <v>9976.4688000000006</v>
      </c>
      <c r="F74" s="11">
        <f t="shared" si="3"/>
        <v>7494.7128000000002</v>
      </c>
    </row>
    <row r="75" spans="2:6" x14ac:dyDescent="0.25">
      <c r="B75" s="2">
        <v>7.2999999999999995E-2</v>
      </c>
      <c r="D75" s="4"/>
      <c r="E75" s="11">
        <f t="shared" si="2"/>
        <v>9972.8642</v>
      </c>
      <c r="F75" s="11">
        <f t="shared" si="3"/>
        <v>7492.3477000000003</v>
      </c>
    </row>
    <row r="76" spans="2:6" x14ac:dyDescent="0.25">
      <c r="B76" s="2">
        <v>7.3999999999999996E-2</v>
      </c>
      <c r="D76" s="4"/>
      <c r="E76" s="11">
        <f t="shared" si="2"/>
        <v>9969.2595999999994</v>
      </c>
      <c r="F76" s="11">
        <f t="shared" si="3"/>
        <v>7489.9826000000003</v>
      </c>
    </row>
    <row r="77" spans="2:6" x14ac:dyDescent="0.25">
      <c r="B77" s="2">
        <v>7.4999999999999997E-2</v>
      </c>
      <c r="D77" s="4"/>
      <c r="E77" s="11">
        <f t="shared" si="2"/>
        <v>9965.6550000000007</v>
      </c>
      <c r="F77" s="11">
        <f t="shared" si="3"/>
        <v>7487.6175000000003</v>
      </c>
    </row>
    <row r="78" spans="2:6" x14ac:dyDescent="0.25">
      <c r="B78" s="2">
        <v>7.5999999999999998E-2</v>
      </c>
      <c r="D78" s="4"/>
      <c r="E78" s="11">
        <f t="shared" si="2"/>
        <v>9962.0504000000001</v>
      </c>
      <c r="F78" s="11">
        <f t="shared" si="3"/>
        <v>7485.2524000000003</v>
      </c>
    </row>
    <row r="79" spans="2:6" x14ac:dyDescent="0.25">
      <c r="B79" s="2">
        <v>7.6999999999999999E-2</v>
      </c>
      <c r="D79" s="4"/>
      <c r="E79" s="11">
        <f t="shared" si="2"/>
        <v>9958.4457999999995</v>
      </c>
      <c r="F79" s="11">
        <f t="shared" si="3"/>
        <v>7482.8873000000003</v>
      </c>
    </row>
    <row r="80" spans="2:6" x14ac:dyDescent="0.25">
      <c r="B80" s="2">
        <v>7.8E-2</v>
      </c>
      <c r="D80" s="4"/>
      <c r="E80" s="11">
        <f t="shared" si="2"/>
        <v>9954.8412000000008</v>
      </c>
      <c r="F80" s="11">
        <f t="shared" si="3"/>
        <v>7480.5222000000003</v>
      </c>
    </row>
    <row r="81" spans="2:6" x14ac:dyDescent="0.25">
      <c r="B81" s="2">
        <v>7.9000000000000001E-2</v>
      </c>
      <c r="D81" s="4"/>
      <c r="E81" s="11">
        <f t="shared" si="2"/>
        <v>9951.2366000000002</v>
      </c>
      <c r="F81" s="11">
        <f t="shared" si="3"/>
        <v>7478.1571000000004</v>
      </c>
    </row>
    <row r="82" spans="2:6" x14ac:dyDescent="0.25">
      <c r="B82" s="2">
        <v>0.08</v>
      </c>
      <c r="D82" s="4"/>
      <c r="E82" s="11">
        <f t="shared" si="2"/>
        <v>9947.6319999999996</v>
      </c>
      <c r="F82" s="11">
        <f t="shared" si="3"/>
        <v>7475.7920000000004</v>
      </c>
    </row>
    <row r="83" spans="2:6" x14ac:dyDescent="0.25">
      <c r="B83" s="2">
        <v>8.1000000000000003E-2</v>
      </c>
      <c r="D83" s="4"/>
      <c r="E83" s="11">
        <f t="shared" si="2"/>
        <v>9944.0274000000009</v>
      </c>
      <c r="F83" s="11">
        <f t="shared" si="3"/>
        <v>7473.4269000000004</v>
      </c>
    </row>
    <row r="84" spans="2:6" x14ac:dyDescent="0.25">
      <c r="B84" s="2">
        <v>8.2000000000000003E-2</v>
      </c>
      <c r="D84" s="4"/>
      <c r="E84" s="11">
        <f t="shared" si="2"/>
        <v>9940.4228000000003</v>
      </c>
      <c r="F84" s="11">
        <f t="shared" si="3"/>
        <v>7471.0618000000004</v>
      </c>
    </row>
    <row r="85" spans="2:6" x14ac:dyDescent="0.25">
      <c r="B85" s="2">
        <v>8.3000000000000004E-2</v>
      </c>
      <c r="D85" s="4"/>
      <c r="E85" s="11">
        <f t="shared" si="2"/>
        <v>9936.8181999999997</v>
      </c>
      <c r="F85" s="11">
        <f t="shared" si="3"/>
        <v>7468.6967000000004</v>
      </c>
    </row>
    <row r="86" spans="2:6" x14ac:dyDescent="0.25">
      <c r="B86" s="2">
        <v>8.4000000000000005E-2</v>
      </c>
      <c r="D86" s="4"/>
      <c r="E86" s="11">
        <f t="shared" si="2"/>
        <v>9933.2135999999991</v>
      </c>
      <c r="F86" s="11">
        <f t="shared" si="3"/>
        <v>7466.3316000000004</v>
      </c>
    </row>
    <row r="87" spans="2:6" x14ac:dyDescent="0.25">
      <c r="B87" s="2">
        <v>8.5000000000000006E-2</v>
      </c>
      <c r="D87" s="4"/>
      <c r="E87" s="11">
        <f t="shared" si="2"/>
        <v>9929.6090000000004</v>
      </c>
      <c r="F87" s="11">
        <f t="shared" si="3"/>
        <v>7463.9665000000005</v>
      </c>
    </row>
    <row r="88" spans="2:6" x14ac:dyDescent="0.25">
      <c r="B88" s="2">
        <v>8.5999999999999993E-2</v>
      </c>
      <c r="D88" s="4"/>
      <c r="E88" s="11">
        <f t="shared" si="2"/>
        <v>9926.0043999999998</v>
      </c>
      <c r="F88" s="11">
        <f t="shared" si="3"/>
        <v>7461.6013999999996</v>
      </c>
    </row>
    <row r="89" spans="2:6" x14ac:dyDescent="0.25">
      <c r="B89" s="2">
        <v>8.6999999999999994E-2</v>
      </c>
      <c r="D89" s="4"/>
      <c r="E89" s="11">
        <f t="shared" si="2"/>
        <v>9922.3997999999992</v>
      </c>
      <c r="F89" s="11">
        <f t="shared" si="3"/>
        <v>7459.2363000000005</v>
      </c>
    </row>
    <row r="90" spans="2:6" x14ac:dyDescent="0.25">
      <c r="B90" s="2">
        <v>8.7999999999999995E-2</v>
      </c>
      <c r="D90" s="4"/>
      <c r="E90" s="11">
        <f t="shared" si="2"/>
        <v>9918.7952000000005</v>
      </c>
      <c r="F90" s="11">
        <f t="shared" si="3"/>
        <v>7456.8711999999996</v>
      </c>
    </row>
    <row r="91" spans="2:6" x14ac:dyDescent="0.25">
      <c r="B91" s="2">
        <v>8.8999999999999996E-2</v>
      </c>
      <c r="D91" s="4"/>
      <c r="E91" s="11">
        <f t="shared" si="2"/>
        <v>9915.1905999999999</v>
      </c>
      <c r="F91" s="11">
        <f t="shared" si="3"/>
        <v>7454.5060999999996</v>
      </c>
    </row>
    <row r="92" spans="2:6" x14ac:dyDescent="0.25">
      <c r="B92" s="2">
        <v>0.09</v>
      </c>
      <c r="D92" s="4"/>
      <c r="E92" s="11">
        <f t="shared" si="2"/>
        <v>9911.5859999999993</v>
      </c>
      <c r="F92" s="11">
        <f t="shared" si="3"/>
        <v>7452.1409999999996</v>
      </c>
    </row>
    <row r="93" spans="2:6" x14ac:dyDescent="0.25">
      <c r="B93" s="2">
        <v>9.0999999999999998E-2</v>
      </c>
      <c r="D93" s="4"/>
      <c r="E93" s="11">
        <f t="shared" si="2"/>
        <v>9907.9814000000006</v>
      </c>
      <c r="F93" s="11">
        <f t="shared" si="3"/>
        <v>7449.7758999999996</v>
      </c>
    </row>
    <row r="94" spans="2:6" x14ac:dyDescent="0.25">
      <c r="B94" s="2">
        <v>9.1999999999999998E-2</v>
      </c>
      <c r="D94" s="4"/>
      <c r="E94" s="11">
        <f t="shared" si="2"/>
        <v>9904.3768</v>
      </c>
      <c r="F94" s="11">
        <f t="shared" si="3"/>
        <v>7447.4107999999997</v>
      </c>
    </row>
    <row r="95" spans="2:6" x14ac:dyDescent="0.25">
      <c r="B95" s="2">
        <v>9.2999999999999999E-2</v>
      </c>
      <c r="D95" s="4"/>
      <c r="E95" s="11">
        <f t="shared" si="2"/>
        <v>9900.7721999999994</v>
      </c>
      <c r="F95" s="11">
        <f t="shared" si="3"/>
        <v>7445.0456999999997</v>
      </c>
    </row>
    <row r="96" spans="2:6" x14ac:dyDescent="0.25">
      <c r="B96" s="2">
        <v>9.4E-2</v>
      </c>
      <c r="D96" s="4"/>
      <c r="E96" s="11">
        <f t="shared" si="2"/>
        <v>9897.1676000000007</v>
      </c>
      <c r="F96" s="11">
        <f t="shared" si="3"/>
        <v>7442.6805999999997</v>
      </c>
    </row>
    <row r="97" spans="2:6" x14ac:dyDescent="0.25">
      <c r="B97" s="2">
        <v>9.5000000000000001E-2</v>
      </c>
      <c r="D97" s="4"/>
      <c r="E97" s="11">
        <f t="shared" si="2"/>
        <v>9893.5630000000001</v>
      </c>
      <c r="F97" s="11">
        <f t="shared" si="3"/>
        <v>7440.3154999999997</v>
      </c>
    </row>
    <row r="98" spans="2:6" x14ac:dyDescent="0.25">
      <c r="B98" s="2">
        <v>9.6000000000000002E-2</v>
      </c>
      <c r="D98" s="4"/>
      <c r="E98" s="11">
        <f t="shared" si="2"/>
        <v>9889.9583999999995</v>
      </c>
      <c r="F98" s="11">
        <f t="shared" si="3"/>
        <v>7437.9503999999997</v>
      </c>
    </row>
    <row r="99" spans="2:6" x14ac:dyDescent="0.25">
      <c r="B99" s="2">
        <v>9.7000000000000003E-2</v>
      </c>
      <c r="D99" s="4"/>
      <c r="E99" s="11">
        <f t="shared" si="2"/>
        <v>9886.3538000000008</v>
      </c>
      <c r="F99" s="11">
        <f t="shared" si="3"/>
        <v>7435.5852999999997</v>
      </c>
    </row>
    <row r="100" spans="2:6" x14ac:dyDescent="0.25">
      <c r="B100" s="2">
        <v>9.8000000000000004E-2</v>
      </c>
      <c r="D100" s="4"/>
      <c r="E100" s="11">
        <f t="shared" si="2"/>
        <v>9882.7492000000002</v>
      </c>
      <c r="F100" s="11">
        <f t="shared" si="3"/>
        <v>7433.2201999999997</v>
      </c>
    </row>
    <row r="101" spans="2:6" x14ac:dyDescent="0.25">
      <c r="B101" s="2">
        <v>9.9000000000000005E-2</v>
      </c>
      <c r="D101" s="4"/>
      <c r="E101" s="11">
        <f t="shared" si="2"/>
        <v>9879.1445999999996</v>
      </c>
      <c r="F101" s="11">
        <f t="shared" si="3"/>
        <v>7430.8550999999998</v>
      </c>
    </row>
    <row r="102" spans="2:6" x14ac:dyDescent="0.25">
      <c r="B102" s="2">
        <v>0.1</v>
      </c>
      <c r="D102" s="4"/>
      <c r="E102" s="11">
        <f t="shared" si="2"/>
        <v>9875.5400000000009</v>
      </c>
      <c r="F102" s="11">
        <f t="shared" si="3"/>
        <v>7428.49</v>
      </c>
    </row>
    <row r="103" spans="2:6" x14ac:dyDescent="0.25">
      <c r="B103" s="2">
        <v>0.10100000000000001</v>
      </c>
      <c r="E103" s="11">
        <f t="shared" si="2"/>
        <v>9871.9354000000003</v>
      </c>
      <c r="F103" s="11">
        <f t="shared" si="3"/>
        <v>7426.1248999999998</v>
      </c>
    </row>
    <row r="104" spans="2:6" x14ac:dyDescent="0.25">
      <c r="B104" s="2">
        <v>0.10199999999999999</v>
      </c>
      <c r="E104" s="11">
        <f t="shared" si="2"/>
        <v>9868.3307999999997</v>
      </c>
      <c r="F104" s="11">
        <f t="shared" si="3"/>
        <v>7423.7597999999998</v>
      </c>
    </row>
    <row r="105" spans="2:6" x14ac:dyDescent="0.25">
      <c r="B105" s="2">
        <v>0.10299999999999999</v>
      </c>
      <c r="E105" s="11">
        <f t="shared" si="2"/>
        <v>9864.7261999999992</v>
      </c>
      <c r="F105" s="11">
        <f t="shared" si="3"/>
        <v>7421.3946999999998</v>
      </c>
    </row>
    <row r="106" spans="2:6" x14ac:dyDescent="0.25">
      <c r="B106" s="2">
        <v>0.104</v>
      </c>
      <c r="E106" s="11">
        <f t="shared" si="2"/>
        <v>9861.1216000000004</v>
      </c>
      <c r="F106" s="11">
        <f t="shared" si="3"/>
        <v>7419.0295999999998</v>
      </c>
    </row>
    <row r="107" spans="2:6" x14ac:dyDescent="0.25">
      <c r="B107" s="2">
        <v>0.105</v>
      </c>
      <c r="E107" s="11">
        <f t="shared" si="2"/>
        <v>9857.5169999999998</v>
      </c>
      <c r="F107" s="11">
        <f t="shared" si="3"/>
        <v>7416.6644999999999</v>
      </c>
    </row>
    <row r="108" spans="2:6" x14ac:dyDescent="0.25">
      <c r="B108" s="2">
        <v>0.106</v>
      </c>
      <c r="E108" s="11">
        <f t="shared" si="2"/>
        <v>9853.9123999999993</v>
      </c>
      <c r="F108" s="11">
        <f t="shared" si="3"/>
        <v>7414.2993999999999</v>
      </c>
    </row>
    <row r="109" spans="2:6" x14ac:dyDescent="0.25">
      <c r="B109" s="2">
        <v>0.107</v>
      </c>
      <c r="E109" s="11">
        <f t="shared" si="2"/>
        <v>9850.3078000000005</v>
      </c>
      <c r="F109" s="11">
        <f t="shared" si="3"/>
        <v>7411.9342999999999</v>
      </c>
    </row>
    <row r="110" spans="2:6" x14ac:dyDescent="0.25">
      <c r="B110" s="2">
        <v>0.108</v>
      </c>
      <c r="E110" s="11">
        <f t="shared" si="2"/>
        <v>9846.7031999999999</v>
      </c>
      <c r="F110" s="11">
        <f t="shared" si="3"/>
        <v>7409.5691999999999</v>
      </c>
    </row>
    <row r="111" spans="2:6" x14ac:dyDescent="0.25">
      <c r="B111" s="2">
        <v>0.109</v>
      </c>
      <c r="E111" s="11">
        <f t="shared" si="2"/>
        <v>9843.0985999999994</v>
      </c>
      <c r="F111" s="11">
        <f t="shared" si="3"/>
        <v>7407.2040999999999</v>
      </c>
    </row>
    <row r="112" spans="2:6" x14ac:dyDescent="0.25">
      <c r="B112" s="2">
        <v>0.11</v>
      </c>
      <c r="E112" s="11">
        <f t="shared" si="2"/>
        <v>9839.4940000000006</v>
      </c>
      <c r="F112" s="11">
        <f t="shared" si="3"/>
        <v>7404.8389999999999</v>
      </c>
    </row>
    <row r="113" spans="2:6" x14ac:dyDescent="0.25">
      <c r="B113" s="2">
        <v>0.111</v>
      </c>
      <c r="E113" s="11">
        <f t="shared" si="2"/>
        <v>9835.8894</v>
      </c>
      <c r="F113" s="11">
        <f t="shared" si="3"/>
        <v>7402.4739</v>
      </c>
    </row>
    <row r="114" spans="2:6" x14ac:dyDescent="0.25">
      <c r="B114" s="2">
        <v>0.112</v>
      </c>
      <c r="E114" s="11">
        <f t="shared" si="2"/>
        <v>9832.2847999999994</v>
      </c>
      <c r="F114" s="11">
        <f t="shared" si="3"/>
        <v>7400.1088</v>
      </c>
    </row>
    <row r="115" spans="2:6" x14ac:dyDescent="0.25">
      <c r="B115" s="2">
        <v>0.113</v>
      </c>
      <c r="E115" s="11">
        <f t="shared" si="2"/>
        <v>9828.6802000000007</v>
      </c>
      <c r="F115" s="11">
        <f t="shared" si="3"/>
        <v>7397.7437</v>
      </c>
    </row>
    <row r="116" spans="2:6" x14ac:dyDescent="0.25">
      <c r="B116" s="2">
        <v>0.114</v>
      </c>
      <c r="E116" s="11">
        <f t="shared" si="2"/>
        <v>9825.0756000000001</v>
      </c>
      <c r="F116" s="11">
        <f t="shared" si="3"/>
        <v>7395.3786</v>
      </c>
    </row>
    <row r="117" spans="2:6" x14ac:dyDescent="0.25">
      <c r="B117" s="2">
        <v>0.115</v>
      </c>
      <c r="E117" s="11">
        <f t="shared" si="2"/>
        <v>9821.4709999999995</v>
      </c>
      <c r="F117" s="11">
        <f t="shared" si="3"/>
        <v>7393.0135</v>
      </c>
    </row>
    <row r="118" spans="2:6" x14ac:dyDescent="0.25">
      <c r="B118" s="2">
        <v>0.11600000000000001</v>
      </c>
      <c r="E118" s="11">
        <f t="shared" si="2"/>
        <v>9817.8664000000008</v>
      </c>
      <c r="F118" s="11">
        <f t="shared" si="3"/>
        <v>7390.6484</v>
      </c>
    </row>
    <row r="119" spans="2:6" x14ac:dyDescent="0.25">
      <c r="B119" s="2">
        <v>0.11700000000000001</v>
      </c>
      <c r="E119" s="11">
        <f t="shared" si="2"/>
        <v>9814.2618000000002</v>
      </c>
      <c r="F119" s="11">
        <f t="shared" si="3"/>
        <v>7388.2833000000001</v>
      </c>
    </row>
    <row r="120" spans="2:6" x14ac:dyDescent="0.25">
      <c r="B120" s="2">
        <v>0.11799999999999999</v>
      </c>
      <c r="E120" s="11">
        <f t="shared" si="2"/>
        <v>9810.6571999999996</v>
      </c>
      <c r="F120" s="11">
        <f t="shared" si="3"/>
        <v>7385.9182000000001</v>
      </c>
    </row>
    <row r="121" spans="2:6" x14ac:dyDescent="0.25">
      <c r="B121" s="2">
        <v>0.11899999999999999</v>
      </c>
      <c r="E121" s="11">
        <f t="shared" si="2"/>
        <v>9807.0526000000009</v>
      </c>
      <c r="F121" s="11">
        <f t="shared" si="3"/>
        <v>7383.5531000000001</v>
      </c>
    </row>
    <row r="122" spans="2:6" x14ac:dyDescent="0.25">
      <c r="B122" s="2">
        <v>0.12</v>
      </c>
      <c r="E122" s="11">
        <f t="shared" si="2"/>
        <v>9803.4480000000003</v>
      </c>
      <c r="F122" s="11">
        <f t="shared" si="3"/>
        <v>7381.1880000000001</v>
      </c>
    </row>
    <row r="123" spans="2:6" x14ac:dyDescent="0.25">
      <c r="B123" s="2">
        <v>0.121</v>
      </c>
      <c r="E123" s="11">
        <f t="shared" si="2"/>
        <v>9799.8433999999997</v>
      </c>
      <c r="F123" s="11">
        <f t="shared" si="3"/>
        <v>7378.8229000000001</v>
      </c>
    </row>
    <row r="124" spans="2:6" x14ac:dyDescent="0.25">
      <c r="B124" s="2">
        <v>0.122</v>
      </c>
      <c r="E124" s="11">
        <f t="shared" si="2"/>
        <v>9796.2387999999992</v>
      </c>
      <c r="F124" s="11">
        <f t="shared" si="3"/>
        <v>7376.4578000000001</v>
      </c>
    </row>
    <row r="125" spans="2:6" x14ac:dyDescent="0.25">
      <c r="B125" s="2">
        <v>0.123</v>
      </c>
      <c r="E125" s="11">
        <f t="shared" si="2"/>
        <v>9792.6342000000004</v>
      </c>
      <c r="F125" s="11">
        <f t="shared" si="3"/>
        <v>7374.0927000000001</v>
      </c>
    </row>
    <row r="126" spans="2:6" x14ac:dyDescent="0.25">
      <c r="B126" s="2">
        <v>0.124</v>
      </c>
      <c r="E126" s="11">
        <f t="shared" si="2"/>
        <v>9789.0295999999998</v>
      </c>
      <c r="F126" s="11">
        <f t="shared" si="3"/>
        <v>7371.7276000000002</v>
      </c>
    </row>
    <row r="127" spans="2:6" x14ac:dyDescent="0.25">
      <c r="B127" s="2">
        <v>0.125</v>
      </c>
      <c r="E127" s="11">
        <f t="shared" si="2"/>
        <v>9785.4249999999993</v>
      </c>
      <c r="F127" s="11">
        <f t="shared" si="3"/>
        <v>7369.3625000000002</v>
      </c>
    </row>
    <row r="128" spans="2:6" x14ac:dyDescent="0.25">
      <c r="B128" s="2">
        <v>0.126</v>
      </c>
      <c r="E128" s="11">
        <f t="shared" si="2"/>
        <v>9781.8204000000005</v>
      </c>
      <c r="F128" s="11">
        <f t="shared" si="3"/>
        <v>7366.9974000000002</v>
      </c>
    </row>
    <row r="129" spans="2:6" x14ac:dyDescent="0.25">
      <c r="B129" s="2">
        <v>0.127</v>
      </c>
      <c r="E129" s="11">
        <f t="shared" si="2"/>
        <v>9778.2157999999999</v>
      </c>
      <c r="F129" s="11">
        <f t="shared" si="3"/>
        <v>7364.6323000000002</v>
      </c>
    </row>
    <row r="130" spans="2:6" x14ac:dyDescent="0.25">
      <c r="B130" s="2">
        <v>0.128</v>
      </c>
      <c r="E130" s="11">
        <f t="shared" si="2"/>
        <v>9774.6111999999994</v>
      </c>
      <c r="F130" s="11">
        <f t="shared" si="3"/>
        <v>7362.2672000000002</v>
      </c>
    </row>
    <row r="131" spans="2:6" x14ac:dyDescent="0.25">
      <c r="B131" s="2">
        <v>0.129</v>
      </c>
      <c r="E131" s="11">
        <f t="shared" ref="E131:E194" si="4" xml:space="preserve"> -3604.6*B131 + 10236</f>
        <v>9771.0066000000006</v>
      </c>
      <c r="F131" s="11">
        <f t="shared" ref="F131:F194" si="5" xml:space="preserve"> -2365.1*B131 + 7665</f>
        <v>7359.9021000000002</v>
      </c>
    </row>
    <row r="132" spans="2:6" x14ac:dyDescent="0.25">
      <c r="B132" s="2">
        <v>0.13</v>
      </c>
      <c r="E132" s="11">
        <f t="shared" si="4"/>
        <v>9767.402</v>
      </c>
      <c r="F132" s="11">
        <f t="shared" si="5"/>
        <v>7357.5370000000003</v>
      </c>
    </row>
    <row r="133" spans="2:6" x14ac:dyDescent="0.25">
      <c r="B133" s="2">
        <v>0.13100000000000001</v>
      </c>
      <c r="E133" s="11">
        <f t="shared" si="4"/>
        <v>9763.7973999999995</v>
      </c>
      <c r="F133" s="11">
        <f t="shared" si="5"/>
        <v>7355.1719000000003</v>
      </c>
    </row>
    <row r="134" spans="2:6" x14ac:dyDescent="0.25">
      <c r="B134" s="2">
        <v>0.13200000000000001</v>
      </c>
      <c r="E134" s="11">
        <f t="shared" si="4"/>
        <v>9760.1928000000007</v>
      </c>
      <c r="F134" s="11">
        <f t="shared" si="5"/>
        <v>7352.8068000000003</v>
      </c>
    </row>
    <row r="135" spans="2:6" x14ac:dyDescent="0.25">
      <c r="B135" s="2">
        <v>0.13300000000000001</v>
      </c>
      <c r="E135" s="11">
        <f t="shared" si="4"/>
        <v>9756.5882000000001</v>
      </c>
      <c r="F135" s="11">
        <f t="shared" si="5"/>
        <v>7350.4417000000003</v>
      </c>
    </row>
    <row r="136" spans="2:6" x14ac:dyDescent="0.25">
      <c r="B136" s="2">
        <v>0.13400000000000001</v>
      </c>
      <c r="E136" s="11">
        <f t="shared" si="4"/>
        <v>9752.9835999999996</v>
      </c>
      <c r="F136" s="11">
        <f t="shared" si="5"/>
        <v>7348.0766000000003</v>
      </c>
    </row>
    <row r="137" spans="2:6" x14ac:dyDescent="0.25">
      <c r="B137" s="2">
        <v>0.13500000000000001</v>
      </c>
      <c r="E137" s="11">
        <f t="shared" si="4"/>
        <v>9749.3790000000008</v>
      </c>
      <c r="F137" s="11">
        <f t="shared" si="5"/>
        <v>7345.7115000000003</v>
      </c>
    </row>
    <row r="138" spans="2:6" x14ac:dyDescent="0.25">
      <c r="B138" s="2">
        <v>0.13600000000000001</v>
      </c>
      <c r="E138" s="11">
        <f t="shared" si="4"/>
        <v>9745.7744000000002</v>
      </c>
      <c r="F138" s="11">
        <f t="shared" si="5"/>
        <v>7343.3464000000004</v>
      </c>
    </row>
    <row r="139" spans="2:6" x14ac:dyDescent="0.25">
      <c r="B139" s="2">
        <v>0.13700000000000001</v>
      </c>
      <c r="E139" s="11">
        <f t="shared" si="4"/>
        <v>9742.1697999999997</v>
      </c>
      <c r="F139" s="11">
        <f t="shared" si="5"/>
        <v>7340.9813000000004</v>
      </c>
    </row>
    <row r="140" spans="2:6" x14ac:dyDescent="0.25">
      <c r="B140" s="2">
        <v>0.13800000000000001</v>
      </c>
      <c r="E140" s="11">
        <f t="shared" si="4"/>
        <v>9738.5651999999991</v>
      </c>
      <c r="F140" s="11">
        <f t="shared" si="5"/>
        <v>7338.6162000000004</v>
      </c>
    </row>
    <row r="141" spans="2:6" x14ac:dyDescent="0.25">
      <c r="B141" s="2">
        <v>0.13900000000000001</v>
      </c>
      <c r="E141" s="11">
        <f t="shared" si="4"/>
        <v>9734.9606000000003</v>
      </c>
      <c r="F141" s="11">
        <f t="shared" si="5"/>
        <v>7336.2511000000004</v>
      </c>
    </row>
    <row r="142" spans="2:6" x14ac:dyDescent="0.25">
      <c r="B142" s="2">
        <v>0.14000000000000001</v>
      </c>
      <c r="E142" s="11">
        <f t="shared" si="4"/>
        <v>9731.3559999999998</v>
      </c>
      <c r="F142" s="11">
        <f t="shared" si="5"/>
        <v>7333.8860000000004</v>
      </c>
    </row>
    <row r="143" spans="2:6" x14ac:dyDescent="0.25">
      <c r="B143" s="2">
        <v>0.14099999999999999</v>
      </c>
      <c r="E143" s="11">
        <f t="shared" si="4"/>
        <v>9727.7513999999992</v>
      </c>
      <c r="F143" s="11">
        <f t="shared" si="5"/>
        <v>7331.5209000000004</v>
      </c>
    </row>
    <row r="144" spans="2:6" x14ac:dyDescent="0.25">
      <c r="B144" s="2">
        <v>0.14199999999999999</v>
      </c>
      <c r="E144" s="11">
        <f t="shared" si="4"/>
        <v>9724.1468000000004</v>
      </c>
      <c r="F144" s="11">
        <f t="shared" si="5"/>
        <v>7329.1558000000005</v>
      </c>
    </row>
    <row r="145" spans="2:6" x14ac:dyDescent="0.25">
      <c r="B145" s="2">
        <v>0.14299999999999999</v>
      </c>
      <c r="E145" s="11">
        <f t="shared" si="4"/>
        <v>9720.5421999999999</v>
      </c>
      <c r="F145" s="11">
        <f t="shared" si="5"/>
        <v>7326.7906999999996</v>
      </c>
    </row>
    <row r="146" spans="2:6" x14ac:dyDescent="0.25">
      <c r="B146" s="2">
        <v>0.14399999999999999</v>
      </c>
      <c r="E146" s="11">
        <f t="shared" si="4"/>
        <v>9716.9375999999993</v>
      </c>
      <c r="F146" s="11">
        <f t="shared" si="5"/>
        <v>7324.4256000000005</v>
      </c>
    </row>
    <row r="147" spans="2:6" x14ac:dyDescent="0.25">
      <c r="B147" s="2">
        <v>0.14499999999999999</v>
      </c>
      <c r="E147" s="11">
        <f t="shared" si="4"/>
        <v>9713.3330000000005</v>
      </c>
      <c r="F147" s="11">
        <f t="shared" si="5"/>
        <v>7322.0604999999996</v>
      </c>
    </row>
    <row r="148" spans="2:6" x14ac:dyDescent="0.25">
      <c r="B148" s="2">
        <v>0.14599999999999999</v>
      </c>
      <c r="E148" s="11">
        <f t="shared" si="4"/>
        <v>9709.7284</v>
      </c>
      <c r="F148" s="11">
        <f t="shared" si="5"/>
        <v>7319.6953999999996</v>
      </c>
    </row>
    <row r="149" spans="2:6" x14ac:dyDescent="0.25">
      <c r="B149" s="2">
        <v>0.14699999999999999</v>
      </c>
      <c r="E149" s="11">
        <f t="shared" si="4"/>
        <v>9706.1237999999994</v>
      </c>
      <c r="F149" s="11">
        <f t="shared" si="5"/>
        <v>7317.3302999999996</v>
      </c>
    </row>
    <row r="150" spans="2:6" x14ac:dyDescent="0.25">
      <c r="B150" s="2">
        <v>0.14799999999999999</v>
      </c>
      <c r="E150" s="11">
        <f t="shared" si="4"/>
        <v>9702.5192000000006</v>
      </c>
      <c r="F150" s="11">
        <f t="shared" si="5"/>
        <v>7314.9651999999996</v>
      </c>
    </row>
    <row r="151" spans="2:6" x14ac:dyDescent="0.25">
      <c r="B151" s="2">
        <v>0.14899999999999999</v>
      </c>
      <c r="E151" s="11">
        <f t="shared" si="4"/>
        <v>9698.9146000000001</v>
      </c>
      <c r="F151" s="11">
        <f t="shared" si="5"/>
        <v>7312.6000999999997</v>
      </c>
    </row>
    <row r="152" spans="2:6" x14ac:dyDescent="0.25">
      <c r="B152" s="2">
        <v>0.15</v>
      </c>
      <c r="E152" s="11">
        <f t="shared" si="4"/>
        <v>9695.31</v>
      </c>
      <c r="F152" s="11">
        <f t="shared" si="5"/>
        <v>7310.2349999999997</v>
      </c>
    </row>
    <row r="153" spans="2:6" x14ac:dyDescent="0.25">
      <c r="B153" s="2">
        <v>0.151</v>
      </c>
      <c r="E153" s="11">
        <f t="shared" si="4"/>
        <v>9691.7054000000007</v>
      </c>
      <c r="F153" s="11">
        <f t="shared" si="5"/>
        <v>7307.8698999999997</v>
      </c>
    </row>
    <row r="154" spans="2:6" x14ac:dyDescent="0.25">
      <c r="B154" s="2">
        <v>0.152</v>
      </c>
      <c r="E154" s="11">
        <f t="shared" si="4"/>
        <v>9688.1008000000002</v>
      </c>
      <c r="F154" s="11">
        <f t="shared" si="5"/>
        <v>7305.5047999999997</v>
      </c>
    </row>
    <row r="155" spans="2:6" x14ac:dyDescent="0.25">
      <c r="B155" s="2">
        <v>0.153</v>
      </c>
      <c r="E155" s="11">
        <f t="shared" si="4"/>
        <v>9684.4961999999996</v>
      </c>
      <c r="F155" s="11">
        <f t="shared" si="5"/>
        <v>7303.1396999999997</v>
      </c>
    </row>
    <row r="156" spans="2:6" x14ac:dyDescent="0.25">
      <c r="B156" s="2">
        <v>0.154</v>
      </c>
      <c r="E156" s="11">
        <f t="shared" si="4"/>
        <v>9680.8916000000008</v>
      </c>
      <c r="F156" s="11">
        <f t="shared" si="5"/>
        <v>7300.7745999999997</v>
      </c>
    </row>
    <row r="157" spans="2:6" x14ac:dyDescent="0.25">
      <c r="B157" s="2">
        <v>0.155</v>
      </c>
      <c r="E157" s="11">
        <f t="shared" si="4"/>
        <v>9677.2870000000003</v>
      </c>
      <c r="F157" s="11">
        <f t="shared" si="5"/>
        <v>7298.4094999999998</v>
      </c>
    </row>
    <row r="158" spans="2:6" x14ac:dyDescent="0.25">
      <c r="B158" s="2">
        <v>0.156</v>
      </c>
      <c r="E158" s="11">
        <f t="shared" si="4"/>
        <v>9673.6823999999997</v>
      </c>
      <c r="F158" s="11">
        <f t="shared" si="5"/>
        <v>7296.0443999999998</v>
      </c>
    </row>
    <row r="159" spans="2:6" x14ac:dyDescent="0.25">
      <c r="B159" s="2">
        <v>0.157</v>
      </c>
      <c r="E159" s="11">
        <f t="shared" si="4"/>
        <v>9670.0777999999991</v>
      </c>
      <c r="F159" s="11">
        <f t="shared" si="5"/>
        <v>7293.6792999999998</v>
      </c>
    </row>
    <row r="160" spans="2:6" x14ac:dyDescent="0.25">
      <c r="B160" s="2">
        <v>0.158</v>
      </c>
      <c r="E160" s="11">
        <f t="shared" si="4"/>
        <v>9666.4732000000004</v>
      </c>
      <c r="F160" s="11">
        <f t="shared" si="5"/>
        <v>7291.3141999999998</v>
      </c>
    </row>
    <row r="161" spans="2:6" x14ac:dyDescent="0.25">
      <c r="B161" s="2">
        <v>0.159</v>
      </c>
      <c r="E161" s="11">
        <f t="shared" si="4"/>
        <v>9662.8685999999998</v>
      </c>
      <c r="F161" s="11">
        <f t="shared" si="5"/>
        <v>7288.9490999999998</v>
      </c>
    </row>
    <row r="162" spans="2:6" x14ac:dyDescent="0.25">
      <c r="B162" s="2">
        <v>0.16</v>
      </c>
      <c r="E162" s="11">
        <f t="shared" si="4"/>
        <v>9659.2639999999992</v>
      </c>
      <c r="F162" s="11">
        <f t="shared" si="5"/>
        <v>7286.5839999999998</v>
      </c>
    </row>
    <row r="163" spans="2:6" x14ac:dyDescent="0.25">
      <c r="B163" s="2">
        <v>0.161</v>
      </c>
      <c r="E163" s="11">
        <f t="shared" si="4"/>
        <v>9655.6594000000005</v>
      </c>
      <c r="F163" s="11">
        <f t="shared" si="5"/>
        <v>7284.2188999999998</v>
      </c>
    </row>
    <row r="164" spans="2:6" x14ac:dyDescent="0.25">
      <c r="B164" s="2">
        <v>0.16200000000000001</v>
      </c>
      <c r="E164" s="11">
        <f t="shared" si="4"/>
        <v>9652.0547999999999</v>
      </c>
      <c r="F164" s="11">
        <f t="shared" si="5"/>
        <v>7281.8537999999999</v>
      </c>
    </row>
    <row r="165" spans="2:6" x14ac:dyDescent="0.25">
      <c r="B165" s="2">
        <v>0.16300000000000001</v>
      </c>
      <c r="E165" s="11">
        <f t="shared" si="4"/>
        <v>9648.4501999999993</v>
      </c>
      <c r="F165" s="11">
        <f t="shared" si="5"/>
        <v>7279.4886999999999</v>
      </c>
    </row>
    <row r="166" spans="2:6" x14ac:dyDescent="0.25">
      <c r="B166" s="2">
        <v>0.16400000000000001</v>
      </c>
      <c r="E166" s="11">
        <f t="shared" si="4"/>
        <v>9644.8456000000006</v>
      </c>
      <c r="F166" s="11">
        <f t="shared" si="5"/>
        <v>7277.1235999999999</v>
      </c>
    </row>
    <row r="167" spans="2:6" x14ac:dyDescent="0.25">
      <c r="B167" s="2">
        <v>0.16500000000000001</v>
      </c>
      <c r="E167" s="11">
        <f t="shared" si="4"/>
        <v>9641.241</v>
      </c>
      <c r="F167" s="11">
        <f t="shared" si="5"/>
        <v>7274.7584999999999</v>
      </c>
    </row>
    <row r="168" spans="2:6" x14ac:dyDescent="0.25">
      <c r="B168" s="2">
        <v>0.16600000000000001</v>
      </c>
      <c r="E168" s="11">
        <f t="shared" si="4"/>
        <v>9637.6363999999994</v>
      </c>
      <c r="F168" s="11">
        <f t="shared" si="5"/>
        <v>7272.3933999999999</v>
      </c>
    </row>
    <row r="169" spans="2:6" x14ac:dyDescent="0.25">
      <c r="B169" s="2">
        <v>0.16700000000000001</v>
      </c>
      <c r="E169" s="11">
        <f t="shared" si="4"/>
        <v>9634.0318000000007</v>
      </c>
      <c r="F169" s="11">
        <f t="shared" si="5"/>
        <v>7270.0282999999999</v>
      </c>
    </row>
    <row r="170" spans="2:6" x14ac:dyDescent="0.25">
      <c r="B170" s="2">
        <v>0.16800000000000001</v>
      </c>
      <c r="E170" s="11">
        <f t="shared" si="4"/>
        <v>9630.4272000000001</v>
      </c>
      <c r="F170" s="11">
        <f t="shared" si="5"/>
        <v>7267.6632</v>
      </c>
    </row>
    <row r="171" spans="2:6" x14ac:dyDescent="0.25">
      <c r="B171" s="2">
        <v>0.16900000000000001</v>
      </c>
      <c r="E171" s="11">
        <f t="shared" si="4"/>
        <v>9626.8225999999995</v>
      </c>
      <c r="F171" s="11">
        <f t="shared" si="5"/>
        <v>7265.2981</v>
      </c>
    </row>
    <row r="172" spans="2:6" x14ac:dyDescent="0.25">
      <c r="B172" s="2">
        <v>0.17</v>
      </c>
      <c r="E172" s="11">
        <f t="shared" si="4"/>
        <v>9623.2180000000008</v>
      </c>
      <c r="F172" s="11">
        <f t="shared" si="5"/>
        <v>7262.933</v>
      </c>
    </row>
    <row r="173" spans="2:6" x14ac:dyDescent="0.25">
      <c r="B173" s="2">
        <v>0.17100000000000001</v>
      </c>
      <c r="E173" s="11">
        <f t="shared" si="4"/>
        <v>9619.6134000000002</v>
      </c>
      <c r="F173" s="11">
        <f t="shared" si="5"/>
        <v>7260.5679</v>
      </c>
    </row>
    <row r="174" spans="2:6" x14ac:dyDescent="0.25">
      <c r="B174" s="2">
        <v>0.17199999999999999</v>
      </c>
      <c r="E174" s="11">
        <f t="shared" si="4"/>
        <v>9616.0087999999996</v>
      </c>
      <c r="F174" s="11">
        <f t="shared" si="5"/>
        <v>7258.2028</v>
      </c>
    </row>
    <row r="175" spans="2:6" x14ac:dyDescent="0.25">
      <c r="B175" s="2">
        <v>0.17299999999999999</v>
      </c>
      <c r="E175" s="11">
        <f t="shared" si="4"/>
        <v>9612.4042000000009</v>
      </c>
      <c r="F175" s="11">
        <f t="shared" si="5"/>
        <v>7255.8377</v>
      </c>
    </row>
    <row r="176" spans="2:6" x14ac:dyDescent="0.25">
      <c r="B176" s="2">
        <v>0.17399999999999999</v>
      </c>
      <c r="E176" s="11">
        <f t="shared" si="4"/>
        <v>9608.7996000000003</v>
      </c>
      <c r="F176" s="11">
        <f t="shared" si="5"/>
        <v>7253.4726000000001</v>
      </c>
    </row>
    <row r="177" spans="2:6" x14ac:dyDescent="0.25">
      <c r="B177" s="2">
        <v>0.17499999999999999</v>
      </c>
      <c r="E177" s="11">
        <f t="shared" si="4"/>
        <v>9605.1949999999997</v>
      </c>
      <c r="F177" s="11">
        <f t="shared" si="5"/>
        <v>7251.1075000000001</v>
      </c>
    </row>
    <row r="178" spans="2:6" x14ac:dyDescent="0.25">
      <c r="B178" s="2">
        <v>0.17599999999999999</v>
      </c>
      <c r="E178" s="11">
        <f t="shared" si="4"/>
        <v>9601.590400000001</v>
      </c>
      <c r="F178" s="11">
        <f t="shared" si="5"/>
        <v>7248.7424000000001</v>
      </c>
    </row>
    <row r="179" spans="2:6" x14ac:dyDescent="0.25">
      <c r="B179" s="2">
        <v>0.17699999999999999</v>
      </c>
      <c r="E179" s="11">
        <f t="shared" si="4"/>
        <v>9597.9858000000004</v>
      </c>
      <c r="F179" s="11">
        <f t="shared" si="5"/>
        <v>7246.3773000000001</v>
      </c>
    </row>
    <row r="180" spans="2:6" x14ac:dyDescent="0.25">
      <c r="B180" s="2">
        <v>0.17799999999999999</v>
      </c>
      <c r="E180" s="11">
        <f t="shared" si="4"/>
        <v>9594.3811999999998</v>
      </c>
      <c r="F180" s="11">
        <f t="shared" si="5"/>
        <v>7244.0122000000001</v>
      </c>
    </row>
    <row r="181" spans="2:6" x14ac:dyDescent="0.25">
      <c r="B181" s="2">
        <v>0.17899999999999999</v>
      </c>
      <c r="E181" s="11">
        <f t="shared" si="4"/>
        <v>9590.7765999999992</v>
      </c>
      <c r="F181" s="11">
        <f t="shared" si="5"/>
        <v>7241.6471000000001</v>
      </c>
    </row>
    <row r="182" spans="2:6" x14ac:dyDescent="0.25">
      <c r="B182" s="2">
        <v>0.18</v>
      </c>
      <c r="E182" s="11">
        <f t="shared" si="4"/>
        <v>9587.1720000000005</v>
      </c>
      <c r="F182" s="11">
        <f t="shared" si="5"/>
        <v>7239.2820000000002</v>
      </c>
    </row>
    <row r="183" spans="2:6" x14ac:dyDescent="0.25">
      <c r="B183" s="2">
        <v>0.18099999999999999</v>
      </c>
      <c r="E183" s="11">
        <f t="shared" si="4"/>
        <v>9583.5673999999999</v>
      </c>
      <c r="F183" s="11">
        <f t="shared" si="5"/>
        <v>7236.9169000000002</v>
      </c>
    </row>
    <row r="184" spans="2:6" x14ac:dyDescent="0.25">
      <c r="B184" s="2">
        <v>0.182</v>
      </c>
      <c r="E184" s="11">
        <f t="shared" si="4"/>
        <v>9579.9627999999993</v>
      </c>
      <c r="F184" s="11">
        <f t="shared" si="5"/>
        <v>7234.5518000000002</v>
      </c>
    </row>
    <row r="185" spans="2:6" x14ac:dyDescent="0.25">
      <c r="B185" s="2">
        <v>0.183</v>
      </c>
      <c r="E185" s="11">
        <f t="shared" si="4"/>
        <v>9576.3582000000006</v>
      </c>
      <c r="F185" s="11">
        <f t="shared" si="5"/>
        <v>7232.1867000000002</v>
      </c>
    </row>
    <row r="186" spans="2:6" x14ac:dyDescent="0.25">
      <c r="B186" s="2">
        <v>0.184</v>
      </c>
      <c r="E186" s="11">
        <f t="shared" si="4"/>
        <v>9572.7536</v>
      </c>
      <c r="F186" s="11">
        <f t="shared" si="5"/>
        <v>7229.8216000000002</v>
      </c>
    </row>
    <row r="187" spans="2:6" x14ac:dyDescent="0.25">
      <c r="B187" s="2">
        <v>0.185</v>
      </c>
      <c r="E187" s="11">
        <f t="shared" si="4"/>
        <v>9569.1489999999994</v>
      </c>
      <c r="F187" s="11">
        <f t="shared" si="5"/>
        <v>7227.4565000000002</v>
      </c>
    </row>
    <row r="188" spans="2:6" x14ac:dyDescent="0.25">
      <c r="B188" s="2">
        <v>0.186</v>
      </c>
      <c r="E188" s="11">
        <f t="shared" si="4"/>
        <v>9565.5444000000007</v>
      </c>
      <c r="F188" s="11">
        <f t="shared" si="5"/>
        <v>7225.0914000000002</v>
      </c>
    </row>
    <row r="189" spans="2:6" x14ac:dyDescent="0.25">
      <c r="B189" s="2">
        <v>0.187</v>
      </c>
      <c r="E189" s="11">
        <f t="shared" si="4"/>
        <v>9561.9398000000001</v>
      </c>
      <c r="F189" s="11">
        <f t="shared" si="5"/>
        <v>7222.7263000000003</v>
      </c>
    </row>
    <row r="190" spans="2:6" x14ac:dyDescent="0.25">
      <c r="B190" s="2">
        <v>0.188</v>
      </c>
      <c r="E190" s="11">
        <f t="shared" si="4"/>
        <v>9558.3351999999995</v>
      </c>
      <c r="F190" s="11">
        <f t="shared" si="5"/>
        <v>7220.3612000000003</v>
      </c>
    </row>
    <row r="191" spans="2:6" x14ac:dyDescent="0.25">
      <c r="B191" s="2">
        <v>0.189</v>
      </c>
      <c r="E191" s="11">
        <f t="shared" si="4"/>
        <v>9554.7306000000008</v>
      </c>
      <c r="F191" s="11">
        <f t="shared" si="5"/>
        <v>7217.9961000000003</v>
      </c>
    </row>
    <row r="192" spans="2:6" x14ac:dyDescent="0.25">
      <c r="B192" s="2">
        <v>0.19</v>
      </c>
      <c r="E192" s="11">
        <f t="shared" si="4"/>
        <v>9551.1260000000002</v>
      </c>
      <c r="F192" s="11">
        <f t="shared" si="5"/>
        <v>7215.6310000000003</v>
      </c>
    </row>
    <row r="193" spans="2:6" x14ac:dyDescent="0.25">
      <c r="B193" s="2">
        <v>0.191</v>
      </c>
      <c r="E193" s="11">
        <f t="shared" si="4"/>
        <v>9547.5213999999996</v>
      </c>
      <c r="F193" s="11">
        <f t="shared" si="5"/>
        <v>7213.2659000000003</v>
      </c>
    </row>
    <row r="194" spans="2:6" x14ac:dyDescent="0.25">
      <c r="B194" s="2">
        <v>0.192</v>
      </c>
      <c r="E194" s="11">
        <f t="shared" si="4"/>
        <v>9543.9167999999991</v>
      </c>
      <c r="F194" s="11">
        <f t="shared" si="5"/>
        <v>7210.9008000000003</v>
      </c>
    </row>
    <row r="195" spans="2:6" x14ac:dyDescent="0.25">
      <c r="B195" s="2">
        <v>0.193</v>
      </c>
      <c r="E195" s="11">
        <f t="shared" ref="E195:E258" si="6" xml:space="preserve"> -3604.6*B195 + 10236</f>
        <v>9540.3122000000003</v>
      </c>
      <c r="F195" s="11">
        <f t="shared" ref="F195:F258" si="7" xml:space="preserve"> -2365.1*B195 + 7665</f>
        <v>7208.5357000000004</v>
      </c>
    </row>
    <row r="196" spans="2:6" x14ac:dyDescent="0.25">
      <c r="B196" s="2">
        <v>0.19400000000000001</v>
      </c>
      <c r="E196" s="11">
        <f t="shared" si="6"/>
        <v>9536.7075999999997</v>
      </c>
      <c r="F196" s="11">
        <f t="shared" si="7"/>
        <v>7206.1706000000004</v>
      </c>
    </row>
    <row r="197" spans="2:6" x14ac:dyDescent="0.25">
      <c r="B197" s="2">
        <v>0.19500000000000001</v>
      </c>
      <c r="E197" s="11">
        <f t="shared" si="6"/>
        <v>9533.1029999999992</v>
      </c>
      <c r="F197" s="11">
        <f t="shared" si="7"/>
        <v>7203.8055000000004</v>
      </c>
    </row>
    <row r="198" spans="2:6" x14ac:dyDescent="0.25">
      <c r="B198" s="2">
        <v>0.19600000000000001</v>
      </c>
      <c r="E198" s="11">
        <f t="shared" si="6"/>
        <v>9529.4984000000004</v>
      </c>
      <c r="F198" s="11">
        <f t="shared" si="7"/>
        <v>7201.4404000000004</v>
      </c>
    </row>
    <row r="199" spans="2:6" x14ac:dyDescent="0.25">
      <c r="B199" s="2">
        <v>0.19700000000000001</v>
      </c>
      <c r="E199" s="11">
        <f t="shared" si="6"/>
        <v>9525.8937999999998</v>
      </c>
      <c r="F199" s="11">
        <f t="shared" si="7"/>
        <v>7199.0753000000004</v>
      </c>
    </row>
    <row r="200" spans="2:6" x14ac:dyDescent="0.25">
      <c r="B200" s="2">
        <v>0.19800000000000001</v>
      </c>
      <c r="E200" s="11">
        <f t="shared" si="6"/>
        <v>9522.2891999999993</v>
      </c>
      <c r="F200" s="11">
        <f t="shared" si="7"/>
        <v>7196.7101999999995</v>
      </c>
    </row>
    <row r="201" spans="2:6" x14ac:dyDescent="0.25">
      <c r="B201" s="2">
        <v>0.19900000000000001</v>
      </c>
      <c r="E201" s="11">
        <f t="shared" si="6"/>
        <v>9518.6846000000005</v>
      </c>
      <c r="F201" s="11">
        <f t="shared" si="7"/>
        <v>7194.3451000000005</v>
      </c>
    </row>
    <row r="202" spans="2:6" x14ac:dyDescent="0.25">
      <c r="B202" s="2">
        <v>0.2</v>
      </c>
      <c r="E202" s="11">
        <f t="shared" si="6"/>
        <v>9515.08</v>
      </c>
      <c r="F202" s="11">
        <f t="shared" si="7"/>
        <v>7191.98</v>
      </c>
    </row>
    <row r="203" spans="2:6" x14ac:dyDescent="0.25">
      <c r="B203" s="2">
        <v>0.20100000000000001</v>
      </c>
      <c r="E203" s="11">
        <f t="shared" si="6"/>
        <v>9511.4753999999994</v>
      </c>
      <c r="F203" s="11">
        <f t="shared" si="7"/>
        <v>7189.6148999999996</v>
      </c>
    </row>
    <row r="204" spans="2:6" x14ac:dyDescent="0.25">
      <c r="B204" s="2">
        <v>0.20200000000000001</v>
      </c>
      <c r="E204" s="11">
        <f t="shared" si="6"/>
        <v>9507.8708000000006</v>
      </c>
      <c r="F204" s="11">
        <f t="shared" si="7"/>
        <v>7187.2497999999996</v>
      </c>
    </row>
    <row r="205" spans="2:6" x14ac:dyDescent="0.25">
      <c r="B205" s="2">
        <v>0.20300000000000001</v>
      </c>
      <c r="E205" s="11">
        <f t="shared" si="6"/>
        <v>9504.2662</v>
      </c>
      <c r="F205" s="11">
        <f t="shared" si="7"/>
        <v>7184.8846999999996</v>
      </c>
    </row>
    <row r="206" spans="2:6" x14ac:dyDescent="0.25">
      <c r="B206" s="2">
        <v>0.20399999999999999</v>
      </c>
      <c r="E206" s="11">
        <f t="shared" si="6"/>
        <v>9500.6615999999995</v>
      </c>
      <c r="F206" s="11">
        <f t="shared" si="7"/>
        <v>7182.5195999999996</v>
      </c>
    </row>
    <row r="207" spans="2:6" x14ac:dyDescent="0.25">
      <c r="B207" s="2">
        <v>0.20499999999999999</v>
      </c>
      <c r="E207" s="11">
        <f t="shared" si="6"/>
        <v>9497.0570000000007</v>
      </c>
      <c r="F207" s="11">
        <f t="shared" si="7"/>
        <v>7180.1544999999996</v>
      </c>
    </row>
    <row r="208" spans="2:6" x14ac:dyDescent="0.25">
      <c r="B208" s="2">
        <v>0.20599999999999999</v>
      </c>
      <c r="E208" s="11">
        <f t="shared" si="6"/>
        <v>9493.4524000000001</v>
      </c>
      <c r="F208" s="11">
        <f t="shared" si="7"/>
        <v>7177.7893999999997</v>
      </c>
    </row>
    <row r="209" spans="2:6" x14ac:dyDescent="0.25">
      <c r="B209" s="2">
        <v>0.20699999999999999</v>
      </c>
      <c r="E209" s="11">
        <f t="shared" si="6"/>
        <v>9489.8477999999996</v>
      </c>
      <c r="F209" s="11">
        <f t="shared" si="7"/>
        <v>7175.4242999999997</v>
      </c>
    </row>
    <row r="210" spans="2:6" x14ac:dyDescent="0.25">
      <c r="B210" s="2">
        <v>0.20799999999999999</v>
      </c>
      <c r="E210" s="11">
        <f t="shared" si="6"/>
        <v>9486.2432000000008</v>
      </c>
      <c r="F210" s="11">
        <f t="shared" si="7"/>
        <v>7173.0591999999997</v>
      </c>
    </row>
    <row r="211" spans="2:6" x14ac:dyDescent="0.25">
      <c r="B211" s="2">
        <v>0.20899999999999999</v>
      </c>
      <c r="E211" s="11">
        <f t="shared" si="6"/>
        <v>9482.6386000000002</v>
      </c>
      <c r="F211" s="11">
        <f t="shared" si="7"/>
        <v>7170.6940999999997</v>
      </c>
    </row>
    <row r="212" spans="2:6" x14ac:dyDescent="0.25">
      <c r="B212" s="2">
        <v>0.21</v>
      </c>
      <c r="E212" s="11">
        <f t="shared" si="6"/>
        <v>9479.0339999999997</v>
      </c>
      <c r="F212" s="11">
        <f t="shared" si="7"/>
        <v>7168.3289999999997</v>
      </c>
    </row>
    <row r="213" spans="2:6" x14ac:dyDescent="0.25">
      <c r="B213" s="2">
        <v>0.21099999999999999</v>
      </c>
      <c r="E213" s="11">
        <f t="shared" si="6"/>
        <v>9475.4294000000009</v>
      </c>
      <c r="F213" s="11">
        <f t="shared" si="7"/>
        <v>7165.9638999999997</v>
      </c>
    </row>
    <row r="214" spans="2:6" x14ac:dyDescent="0.25">
      <c r="B214" s="2">
        <v>0.21199999999999999</v>
      </c>
      <c r="E214" s="11">
        <f t="shared" si="6"/>
        <v>9471.8248000000003</v>
      </c>
      <c r="F214" s="11">
        <f t="shared" si="7"/>
        <v>7163.5987999999998</v>
      </c>
    </row>
    <row r="215" spans="2:6" x14ac:dyDescent="0.25">
      <c r="B215" s="2">
        <v>0.21299999999999999</v>
      </c>
      <c r="E215" s="11">
        <f t="shared" si="6"/>
        <v>9468.2201999999997</v>
      </c>
      <c r="F215" s="11">
        <f t="shared" si="7"/>
        <v>7161.2336999999998</v>
      </c>
    </row>
    <row r="216" spans="2:6" x14ac:dyDescent="0.25">
      <c r="B216" s="2">
        <v>0.214</v>
      </c>
      <c r="E216" s="11">
        <f t="shared" si="6"/>
        <v>9464.615600000001</v>
      </c>
      <c r="F216" s="11">
        <f t="shared" si="7"/>
        <v>7158.8685999999998</v>
      </c>
    </row>
    <row r="217" spans="2:6" x14ac:dyDescent="0.25">
      <c r="B217" s="2">
        <v>0.215</v>
      </c>
      <c r="E217" s="11">
        <f t="shared" si="6"/>
        <v>9461.0110000000004</v>
      </c>
      <c r="F217" s="11">
        <f t="shared" si="7"/>
        <v>7156.5034999999998</v>
      </c>
    </row>
    <row r="218" spans="2:6" x14ac:dyDescent="0.25">
      <c r="B218" s="2">
        <v>0.216</v>
      </c>
      <c r="E218" s="11">
        <f t="shared" si="6"/>
        <v>9457.4063999999998</v>
      </c>
      <c r="F218" s="11">
        <f t="shared" si="7"/>
        <v>7154.1383999999998</v>
      </c>
    </row>
    <row r="219" spans="2:6" x14ac:dyDescent="0.25">
      <c r="B219" s="2">
        <v>0.217</v>
      </c>
      <c r="E219" s="11">
        <f t="shared" si="6"/>
        <v>9453.8017999999993</v>
      </c>
      <c r="F219" s="11">
        <f t="shared" si="7"/>
        <v>7151.7732999999998</v>
      </c>
    </row>
    <row r="220" spans="2:6" x14ac:dyDescent="0.25">
      <c r="B220" s="2">
        <v>0.218</v>
      </c>
      <c r="E220" s="11">
        <f t="shared" si="6"/>
        <v>9450.1972000000005</v>
      </c>
      <c r="F220" s="11">
        <f t="shared" si="7"/>
        <v>7149.4081999999999</v>
      </c>
    </row>
    <row r="221" spans="2:6" x14ac:dyDescent="0.25">
      <c r="B221" s="2">
        <v>0.219</v>
      </c>
      <c r="E221" s="11">
        <f t="shared" si="6"/>
        <v>9446.5925999999999</v>
      </c>
      <c r="F221" s="11">
        <f t="shared" si="7"/>
        <v>7147.0430999999999</v>
      </c>
    </row>
    <row r="222" spans="2:6" x14ac:dyDescent="0.25">
      <c r="B222" s="2">
        <v>0.22</v>
      </c>
      <c r="E222" s="11">
        <f t="shared" si="6"/>
        <v>9442.9879999999994</v>
      </c>
      <c r="F222" s="11">
        <f t="shared" si="7"/>
        <v>7144.6779999999999</v>
      </c>
    </row>
    <row r="223" spans="2:6" x14ac:dyDescent="0.25">
      <c r="B223" s="2">
        <v>0.221</v>
      </c>
      <c r="E223" s="11">
        <f t="shared" si="6"/>
        <v>9439.3834000000006</v>
      </c>
      <c r="F223" s="11">
        <f t="shared" si="7"/>
        <v>7142.3128999999999</v>
      </c>
    </row>
    <row r="224" spans="2:6" x14ac:dyDescent="0.25">
      <c r="B224" s="2">
        <v>0.222</v>
      </c>
      <c r="E224" s="11">
        <f t="shared" si="6"/>
        <v>9435.7788</v>
      </c>
      <c r="F224" s="11">
        <f t="shared" si="7"/>
        <v>7139.9477999999999</v>
      </c>
    </row>
    <row r="225" spans="2:6" x14ac:dyDescent="0.25">
      <c r="B225" s="2">
        <v>0.223</v>
      </c>
      <c r="E225" s="11">
        <f t="shared" si="6"/>
        <v>9432.1741999999995</v>
      </c>
      <c r="F225" s="11">
        <f t="shared" si="7"/>
        <v>7137.5826999999999</v>
      </c>
    </row>
    <row r="226" spans="2:6" x14ac:dyDescent="0.25">
      <c r="B226" s="2">
        <v>0.224</v>
      </c>
      <c r="E226" s="11">
        <f t="shared" si="6"/>
        <v>9428.5696000000007</v>
      </c>
      <c r="F226" s="11">
        <f t="shared" si="7"/>
        <v>7135.2175999999999</v>
      </c>
    </row>
    <row r="227" spans="2:6" x14ac:dyDescent="0.25">
      <c r="B227" s="2">
        <v>0.22500000000000001</v>
      </c>
      <c r="E227" s="11">
        <f t="shared" si="6"/>
        <v>9424.9650000000001</v>
      </c>
      <c r="F227" s="11">
        <f t="shared" si="7"/>
        <v>7132.8525</v>
      </c>
    </row>
    <row r="228" spans="2:6" x14ac:dyDescent="0.25">
      <c r="B228" s="2">
        <v>0.22600000000000001</v>
      </c>
      <c r="E228" s="11">
        <f t="shared" si="6"/>
        <v>9421.3603999999996</v>
      </c>
      <c r="F228" s="11">
        <f t="shared" si="7"/>
        <v>7130.4874</v>
      </c>
    </row>
    <row r="229" spans="2:6" x14ac:dyDescent="0.25">
      <c r="B229" s="2">
        <v>0.22700000000000001</v>
      </c>
      <c r="E229" s="11">
        <f t="shared" si="6"/>
        <v>9417.7558000000008</v>
      </c>
      <c r="F229" s="11">
        <f t="shared" si="7"/>
        <v>7128.1223</v>
      </c>
    </row>
    <row r="230" spans="2:6" x14ac:dyDescent="0.25">
      <c r="B230" s="2">
        <v>0.22800000000000001</v>
      </c>
      <c r="E230" s="11">
        <f t="shared" si="6"/>
        <v>9414.1512000000002</v>
      </c>
      <c r="F230" s="11">
        <f t="shared" si="7"/>
        <v>7125.7572</v>
      </c>
    </row>
    <row r="231" spans="2:6" x14ac:dyDescent="0.25">
      <c r="B231" s="2">
        <v>0.22900000000000001</v>
      </c>
      <c r="E231" s="11">
        <f t="shared" si="6"/>
        <v>9410.5465999999997</v>
      </c>
      <c r="F231" s="11">
        <f t="shared" si="7"/>
        <v>7123.3921</v>
      </c>
    </row>
    <row r="232" spans="2:6" x14ac:dyDescent="0.25">
      <c r="B232" s="2">
        <v>0.23</v>
      </c>
      <c r="E232" s="11">
        <f t="shared" si="6"/>
        <v>9406.9419999999991</v>
      </c>
      <c r="F232" s="11">
        <f t="shared" si="7"/>
        <v>7121.027</v>
      </c>
    </row>
    <row r="233" spans="2:6" x14ac:dyDescent="0.25">
      <c r="B233" s="2">
        <v>0.23100000000000001</v>
      </c>
      <c r="E233" s="11">
        <f t="shared" si="6"/>
        <v>9403.3374000000003</v>
      </c>
      <c r="F233" s="11">
        <f t="shared" si="7"/>
        <v>7118.6619000000001</v>
      </c>
    </row>
    <row r="234" spans="2:6" x14ac:dyDescent="0.25">
      <c r="B234" s="2">
        <v>0.23200000000000001</v>
      </c>
      <c r="E234" s="11">
        <f t="shared" si="6"/>
        <v>9399.7327999999998</v>
      </c>
      <c r="F234" s="11">
        <f t="shared" si="7"/>
        <v>7116.2968000000001</v>
      </c>
    </row>
    <row r="235" spans="2:6" x14ac:dyDescent="0.25">
      <c r="B235" s="2">
        <v>0.23300000000000001</v>
      </c>
      <c r="E235" s="11">
        <f t="shared" si="6"/>
        <v>9396.1281999999992</v>
      </c>
      <c r="F235" s="11">
        <f t="shared" si="7"/>
        <v>7113.9317000000001</v>
      </c>
    </row>
    <row r="236" spans="2:6" x14ac:dyDescent="0.25">
      <c r="B236" s="2">
        <v>0.23400000000000001</v>
      </c>
      <c r="E236" s="11">
        <f t="shared" si="6"/>
        <v>9392.5236000000004</v>
      </c>
      <c r="F236" s="11">
        <f t="shared" si="7"/>
        <v>7111.5666000000001</v>
      </c>
    </row>
    <row r="237" spans="2:6" x14ac:dyDescent="0.25">
      <c r="B237" s="2">
        <v>0.23499999999999999</v>
      </c>
      <c r="E237" s="11">
        <f t="shared" si="6"/>
        <v>9388.9189999999999</v>
      </c>
      <c r="F237" s="11">
        <f t="shared" si="7"/>
        <v>7109.2015000000001</v>
      </c>
    </row>
    <row r="238" spans="2:6" x14ac:dyDescent="0.25">
      <c r="B238" s="2">
        <v>0.23599999999999999</v>
      </c>
      <c r="E238" s="11">
        <f t="shared" si="6"/>
        <v>9385.3143999999993</v>
      </c>
      <c r="F238" s="11">
        <f t="shared" si="7"/>
        <v>7106.8364000000001</v>
      </c>
    </row>
    <row r="239" spans="2:6" x14ac:dyDescent="0.25">
      <c r="B239" s="2">
        <v>0.23699999999999999</v>
      </c>
      <c r="E239" s="11">
        <f t="shared" si="6"/>
        <v>9381.7098000000005</v>
      </c>
      <c r="F239" s="11">
        <f t="shared" si="7"/>
        <v>7104.4713000000002</v>
      </c>
    </row>
    <row r="240" spans="2:6" x14ac:dyDescent="0.25">
      <c r="B240" s="2">
        <v>0.23799999999999999</v>
      </c>
      <c r="E240" s="11">
        <f t="shared" si="6"/>
        <v>9378.1052</v>
      </c>
      <c r="F240" s="11">
        <f t="shared" si="7"/>
        <v>7102.1062000000002</v>
      </c>
    </row>
    <row r="241" spans="2:6" x14ac:dyDescent="0.25">
      <c r="B241" s="2">
        <v>0.23899999999999999</v>
      </c>
      <c r="E241" s="11">
        <f t="shared" si="6"/>
        <v>9374.5005999999994</v>
      </c>
      <c r="F241" s="11">
        <f t="shared" si="7"/>
        <v>7099.7411000000002</v>
      </c>
    </row>
    <row r="242" spans="2:6" x14ac:dyDescent="0.25">
      <c r="B242" s="2">
        <v>0.24</v>
      </c>
      <c r="E242" s="11">
        <f t="shared" si="6"/>
        <v>9370.8960000000006</v>
      </c>
      <c r="F242" s="11">
        <f t="shared" si="7"/>
        <v>7097.3760000000002</v>
      </c>
    </row>
    <row r="243" spans="2:6" x14ac:dyDescent="0.25">
      <c r="B243" s="2">
        <v>0.24099999999999999</v>
      </c>
      <c r="E243" s="11">
        <f t="shared" si="6"/>
        <v>9367.2914000000001</v>
      </c>
      <c r="F243" s="11">
        <f t="shared" si="7"/>
        <v>7095.0109000000002</v>
      </c>
    </row>
    <row r="244" spans="2:6" x14ac:dyDescent="0.25">
      <c r="B244" s="2">
        <v>0.24199999999999999</v>
      </c>
      <c r="E244" s="11">
        <f t="shared" si="6"/>
        <v>9363.6867999999995</v>
      </c>
      <c r="F244" s="11">
        <f t="shared" si="7"/>
        <v>7092.6458000000002</v>
      </c>
    </row>
    <row r="245" spans="2:6" x14ac:dyDescent="0.25">
      <c r="B245" s="2">
        <v>0.24299999999999999</v>
      </c>
      <c r="E245" s="11">
        <f t="shared" si="6"/>
        <v>9360.0822000000007</v>
      </c>
      <c r="F245" s="11">
        <f t="shared" si="7"/>
        <v>7090.2807000000003</v>
      </c>
    </row>
    <row r="246" spans="2:6" x14ac:dyDescent="0.25">
      <c r="B246" s="2">
        <v>0.24399999999999999</v>
      </c>
      <c r="E246" s="11">
        <f t="shared" si="6"/>
        <v>9356.4776000000002</v>
      </c>
      <c r="F246" s="11">
        <f t="shared" si="7"/>
        <v>7087.9156000000003</v>
      </c>
    </row>
    <row r="247" spans="2:6" x14ac:dyDescent="0.25">
      <c r="B247" s="2">
        <v>0.245</v>
      </c>
      <c r="E247" s="11">
        <f t="shared" si="6"/>
        <v>9352.8729999999996</v>
      </c>
      <c r="F247" s="11">
        <f t="shared" si="7"/>
        <v>7085.5505000000003</v>
      </c>
    </row>
    <row r="248" spans="2:6" x14ac:dyDescent="0.25">
      <c r="B248" s="2">
        <v>0.246</v>
      </c>
      <c r="E248" s="11">
        <f t="shared" si="6"/>
        <v>9349.2684000000008</v>
      </c>
      <c r="F248" s="11">
        <f t="shared" si="7"/>
        <v>7083.1854000000003</v>
      </c>
    </row>
    <row r="249" spans="2:6" x14ac:dyDescent="0.25">
      <c r="B249" s="2">
        <v>0.247</v>
      </c>
      <c r="E249" s="11">
        <f t="shared" si="6"/>
        <v>9345.6638000000003</v>
      </c>
      <c r="F249" s="11">
        <f t="shared" si="7"/>
        <v>7080.8203000000003</v>
      </c>
    </row>
    <row r="250" spans="2:6" x14ac:dyDescent="0.25">
      <c r="B250" s="2">
        <v>0.248</v>
      </c>
      <c r="E250" s="11">
        <f t="shared" si="6"/>
        <v>9342.0591999999997</v>
      </c>
      <c r="F250" s="11">
        <f t="shared" si="7"/>
        <v>7078.4552000000003</v>
      </c>
    </row>
    <row r="251" spans="2:6" x14ac:dyDescent="0.25">
      <c r="B251" s="2">
        <v>0.249</v>
      </c>
      <c r="E251" s="11">
        <f t="shared" si="6"/>
        <v>9338.4546000000009</v>
      </c>
      <c r="F251" s="11">
        <f t="shared" si="7"/>
        <v>7076.0901000000003</v>
      </c>
    </row>
    <row r="252" spans="2:6" x14ac:dyDescent="0.25">
      <c r="B252" s="2">
        <v>0.25</v>
      </c>
      <c r="E252" s="11">
        <f t="shared" si="6"/>
        <v>9334.85</v>
      </c>
      <c r="F252" s="11">
        <f t="shared" si="7"/>
        <v>7073.7250000000004</v>
      </c>
    </row>
    <row r="253" spans="2:6" x14ac:dyDescent="0.25">
      <c r="B253" s="2">
        <v>0.251</v>
      </c>
      <c r="E253" s="11">
        <f t="shared" si="6"/>
        <v>9331.2453999999998</v>
      </c>
      <c r="F253" s="11">
        <f t="shared" si="7"/>
        <v>7071.3599000000004</v>
      </c>
    </row>
    <row r="254" spans="2:6" x14ac:dyDescent="0.25">
      <c r="B254" s="2">
        <v>0.252</v>
      </c>
      <c r="E254" s="11">
        <f t="shared" si="6"/>
        <v>9327.6407999999992</v>
      </c>
      <c r="F254" s="11">
        <f t="shared" si="7"/>
        <v>7068.9948000000004</v>
      </c>
    </row>
    <row r="255" spans="2:6" x14ac:dyDescent="0.25">
      <c r="B255" s="2">
        <v>0.253</v>
      </c>
      <c r="E255" s="11">
        <f t="shared" si="6"/>
        <v>9324.0362000000005</v>
      </c>
      <c r="F255" s="11">
        <f t="shared" si="7"/>
        <v>7066.6297000000004</v>
      </c>
    </row>
    <row r="256" spans="2:6" x14ac:dyDescent="0.25">
      <c r="B256" s="2">
        <v>0.254</v>
      </c>
      <c r="E256" s="11">
        <f t="shared" si="6"/>
        <v>9320.4315999999999</v>
      </c>
      <c r="F256" s="11">
        <f t="shared" si="7"/>
        <v>7064.2646000000004</v>
      </c>
    </row>
    <row r="257" spans="2:6" x14ac:dyDescent="0.25">
      <c r="B257" s="2">
        <v>0.255</v>
      </c>
      <c r="E257" s="11">
        <f t="shared" si="6"/>
        <v>9316.8269999999993</v>
      </c>
      <c r="F257" s="11">
        <f t="shared" si="7"/>
        <v>7061.8994999999995</v>
      </c>
    </row>
    <row r="258" spans="2:6" x14ac:dyDescent="0.25">
      <c r="B258" s="2">
        <v>0.25600000000000001</v>
      </c>
      <c r="E258" s="11">
        <f t="shared" si="6"/>
        <v>9313.2224000000006</v>
      </c>
      <c r="F258" s="11">
        <f t="shared" si="7"/>
        <v>7059.5344000000005</v>
      </c>
    </row>
    <row r="259" spans="2:6" x14ac:dyDescent="0.25">
      <c r="B259" s="2">
        <v>0.25700000000000001</v>
      </c>
      <c r="E259" s="11">
        <f t="shared" ref="E259:E322" si="8" xml:space="preserve"> -3604.6*B259 + 10236</f>
        <v>9309.6178</v>
      </c>
      <c r="F259" s="11">
        <f t="shared" ref="F259:F322" si="9" xml:space="preserve"> -2365.1*B259 + 7665</f>
        <v>7057.1692999999996</v>
      </c>
    </row>
    <row r="260" spans="2:6" x14ac:dyDescent="0.25">
      <c r="B260" s="2">
        <v>0.25800000000000001</v>
      </c>
      <c r="E260" s="11">
        <f t="shared" si="8"/>
        <v>9306.0131999999994</v>
      </c>
      <c r="F260" s="11">
        <f t="shared" si="9"/>
        <v>7054.8042000000005</v>
      </c>
    </row>
    <row r="261" spans="2:6" x14ac:dyDescent="0.25">
      <c r="B261" s="2">
        <v>0.25900000000000001</v>
      </c>
      <c r="E261" s="11">
        <f t="shared" si="8"/>
        <v>9302.4086000000007</v>
      </c>
      <c r="F261" s="11">
        <f t="shared" si="9"/>
        <v>7052.4390999999996</v>
      </c>
    </row>
    <row r="262" spans="2:6" x14ac:dyDescent="0.25">
      <c r="B262" s="2">
        <v>0.26</v>
      </c>
      <c r="E262" s="11">
        <f t="shared" si="8"/>
        <v>9298.8040000000001</v>
      </c>
      <c r="F262" s="11">
        <f t="shared" si="9"/>
        <v>7050.0739999999996</v>
      </c>
    </row>
    <row r="263" spans="2:6" x14ac:dyDescent="0.25">
      <c r="B263" s="2">
        <v>0.26100000000000001</v>
      </c>
      <c r="E263" s="11">
        <f t="shared" si="8"/>
        <v>9295.1993999999995</v>
      </c>
      <c r="F263" s="11">
        <f t="shared" si="9"/>
        <v>7047.7088999999996</v>
      </c>
    </row>
    <row r="264" spans="2:6" x14ac:dyDescent="0.25">
      <c r="B264" s="2">
        <v>0.26200000000000001</v>
      </c>
      <c r="E264" s="11">
        <f t="shared" si="8"/>
        <v>9291.5948000000008</v>
      </c>
      <c r="F264" s="11">
        <f t="shared" si="9"/>
        <v>7045.3437999999996</v>
      </c>
    </row>
    <row r="265" spans="2:6" x14ac:dyDescent="0.25">
      <c r="B265" s="2">
        <v>0.26300000000000001</v>
      </c>
      <c r="E265" s="11">
        <f t="shared" si="8"/>
        <v>9287.9902000000002</v>
      </c>
      <c r="F265" s="11">
        <f t="shared" si="9"/>
        <v>7042.9786999999997</v>
      </c>
    </row>
    <row r="266" spans="2:6" x14ac:dyDescent="0.25">
      <c r="B266" s="2">
        <v>0.26400000000000001</v>
      </c>
      <c r="E266" s="11">
        <f t="shared" si="8"/>
        <v>9284.3855999999996</v>
      </c>
      <c r="F266" s="11">
        <f t="shared" si="9"/>
        <v>7040.6135999999997</v>
      </c>
    </row>
    <row r="267" spans="2:6" x14ac:dyDescent="0.25">
      <c r="B267" s="2">
        <v>0.26500000000000001</v>
      </c>
      <c r="E267" s="11">
        <f t="shared" si="8"/>
        <v>9280.780999999999</v>
      </c>
      <c r="F267" s="11">
        <f t="shared" si="9"/>
        <v>7038.2484999999997</v>
      </c>
    </row>
    <row r="268" spans="2:6" x14ac:dyDescent="0.25">
      <c r="B268" s="2">
        <v>0.26600000000000001</v>
      </c>
      <c r="E268" s="11">
        <f t="shared" si="8"/>
        <v>9277.1764000000003</v>
      </c>
      <c r="F268" s="11">
        <f t="shared" si="9"/>
        <v>7035.8833999999997</v>
      </c>
    </row>
    <row r="269" spans="2:6" x14ac:dyDescent="0.25">
      <c r="B269" s="2">
        <v>0.26700000000000002</v>
      </c>
      <c r="E269" s="11">
        <f t="shared" si="8"/>
        <v>9273.5717999999997</v>
      </c>
      <c r="F269" s="11">
        <f t="shared" si="9"/>
        <v>7033.5182999999997</v>
      </c>
    </row>
    <row r="270" spans="2:6" x14ac:dyDescent="0.25">
      <c r="B270" s="2">
        <v>0.26800000000000002</v>
      </c>
      <c r="E270" s="11">
        <f t="shared" si="8"/>
        <v>9269.9671999999991</v>
      </c>
      <c r="F270" s="11">
        <f t="shared" si="9"/>
        <v>7031.1531999999997</v>
      </c>
    </row>
    <row r="271" spans="2:6" x14ac:dyDescent="0.25">
      <c r="B271" s="2">
        <v>0.26900000000000002</v>
      </c>
      <c r="E271" s="11">
        <f t="shared" si="8"/>
        <v>9266.3626000000004</v>
      </c>
      <c r="F271" s="11">
        <f t="shared" si="9"/>
        <v>7028.7880999999998</v>
      </c>
    </row>
    <row r="272" spans="2:6" x14ac:dyDescent="0.25">
      <c r="B272" s="2">
        <v>0.27</v>
      </c>
      <c r="E272" s="11">
        <f t="shared" si="8"/>
        <v>9262.7579999999998</v>
      </c>
      <c r="F272" s="11">
        <f t="shared" si="9"/>
        <v>7026.4229999999998</v>
      </c>
    </row>
    <row r="273" spans="2:6" x14ac:dyDescent="0.25">
      <c r="B273" s="2">
        <v>0.27100000000000002</v>
      </c>
      <c r="E273" s="11">
        <f t="shared" si="8"/>
        <v>9259.1533999999992</v>
      </c>
      <c r="F273" s="11">
        <f t="shared" si="9"/>
        <v>7024.0578999999998</v>
      </c>
    </row>
    <row r="274" spans="2:6" x14ac:dyDescent="0.25">
      <c r="B274" s="2">
        <v>0.27200000000000002</v>
      </c>
      <c r="E274" s="11">
        <f t="shared" si="8"/>
        <v>9255.5488000000005</v>
      </c>
      <c r="F274" s="11">
        <f t="shared" si="9"/>
        <v>7021.6927999999998</v>
      </c>
    </row>
    <row r="275" spans="2:6" x14ac:dyDescent="0.25">
      <c r="B275" s="2">
        <v>0.27300000000000002</v>
      </c>
      <c r="E275" s="11">
        <f t="shared" si="8"/>
        <v>9251.9441999999999</v>
      </c>
      <c r="F275" s="11">
        <f t="shared" si="9"/>
        <v>7019.3276999999998</v>
      </c>
    </row>
    <row r="276" spans="2:6" x14ac:dyDescent="0.25">
      <c r="B276" s="2">
        <v>0.27400000000000002</v>
      </c>
      <c r="E276" s="11">
        <f t="shared" si="8"/>
        <v>9248.3395999999993</v>
      </c>
      <c r="F276" s="11">
        <f t="shared" si="9"/>
        <v>7016.9625999999998</v>
      </c>
    </row>
    <row r="277" spans="2:6" x14ac:dyDescent="0.25">
      <c r="B277" s="2">
        <v>0.27500000000000002</v>
      </c>
      <c r="E277" s="11">
        <f t="shared" si="8"/>
        <v>9244.7350000000006</v>
      </c>
      <c r="F277" s="11">
        <f t="shared" si="9"/>
        <v>7014.5974999999999</v>
      </c>
    </row>
    <row r="278" spans="2:6" x14ac:dyDescent="0.25">
      <c r="B278" s="2">
        <v>0.27600000000000002</v>
      </c>
      <c r="E278" s="11">
        <f t="shared" si="8"/>
        <v>9241.1304</v>
      </c>
      <c r="F278" s="11">
        <f t="shared" si="9"/>
        <v>7012.2323999999999</v>
      </c>
    </row>
    <row r="279" spans="2:6" x14ac:dyDescent="0.25">
      <c r="B279" s="2">
        <v>0.27700000000000002</v>
      </c>
      <c r="E279" s="11">
        <f t="shared" si="8"/>
        <v>9237.5257999999994</v>
      </c>
      <c r="F279" s="11">
        <f t="shared" si="9"/>
        <v>7009.8672999999999</v>
      </c>
    </row>
    <row r="280" spans="2:6" x14ac:dyDescent="0.25">
      <c r="B280" s="2">
        <v>0.27800000000000002</v>
      </c>
      <c r="E280" s="11">
        <f t="shared" si="8"/>
        <v>9233.9212000000007</v>
      </c>
      <c r="F280" s="11">
        <f t="shared" si="9"/>
        <v>7007.5021999999999</v>
      </c>
    </row>
    <row r="281" spans="2:6" x14ac:dyDescent="0.25">
      <c r="B281" s="2">
        <v>0.27900000000000003</v>
      </c>
      <c r="E281" s="11">
        <f t="shared" si="8"/>
        <v>9230.3166000000001</v>
      </c>
      <c r="F281" s="11">
        <f t="shared" si="9"/>
        <v>7005.1370999999999</v>
      </c>
    </row>
    <row r="282" spans="2:6" x14ac:dyDescent="0.25">
      <c r="B282" s="2">
        <v>0.28000000000000003</v>
      </c>
      <c r="E282" s="11">
        <f t="shared" si="8"/>
        <v>9226.7119999999995</v>
      </c>
      <c r="F282" s="11">
        <f t="shared" si="9"/>
        <v>7002.7719999999999</v>
      </c>
    </row>
    <row r="283" spans="2:6" x14ac:dyDescent="0.25">
      <c r="B283" s="2">
        <v>0.28100000000000003</v>
      </c>
      <c r="E283" s="11">
        <f t="shared" si="8"/>
        <v>9223.1074000000008</v>
      </c>
      <c r="F283" s="11">
        <f t="shared" si="9"/>
        <v>7000.4069</v>
      </c>
    </row>
    <row r="284" spans="2:6" x14ac:dyDescent="0.25">
      <c r="B284" s="2">
        <v>0.28199999999999997</v>
      </c>
      <c r="E284" s="11">
        <f t="shared" si="8"/>
        <v>9219.5028000000002</v>
      </c>
      <c r="F284" s="11">
        <f t="shared" si="9"/>
        <v>6998.0418</v>
      </c>
    </row>
    <row r="285" spans="2:6" x14ac:dyDescent="0.25">
      <c r="B285" s="2">
        <v>0.28299999999999997</v>
      </c>
      <c r="E285" s="11">
        <f t="shared" si="8"/>
        <v>9215.8981999999996</v>
      </c>
      <c r="F285" s="11">
        <f t="shared" si="9"/>
        <v>6995.6767</v>
      </c>
    </row>
    <row r="286" spans="2:6" x14ac:dyDescent="0.25">
      <c r="B286" s="2">
        <v>0.28399999999999997</v>
      </c>
      <c r="E286" s="11">
        <f t="shared" si="8"/>
        <v>9212.2936000000009</v>
      </c>
      <c r="F286" s="11">
        <f t="shared" si="9"/>
        <v>6993.3116</v>
      </c>
    </row>
    <row r="287" spans="2:6" x14ac:dyDescent="0.25">
      <c r="B287" s="2">
        <v>0.28499999999999998</v>
      </c>
      <c r="E287" s="11">
        <f t="shared" si="8"/>
        <v>9208.6890000000003</v>
      </c>
      <c r="F287" s="11">
        <f t="shared" si="9"/>
        <v>6990.9465</v>
      </c>
    </row>
    <row r="288" spans="2:6" x14ac:dyDescent="0.25">
      <c r="B288" s="2">
        <v>0.28599999999999998</v>
      </c>
      <c r="E288" s="11">
        <f t="shared" si="8"/>
        <v>9205.0843999999997</v>
      </c>
      <c r="F288" s="11">
        <f t="shared" si="9"/>
        <v>6988.5814</v>
      </c>
    </row>
    <row r="289" spans="2:6" x14ac:dyDescent="0.25">
      <c r="B289" s="2">
        <v>0.28699999999999998</v>
      </c>
      <c r="E289" s="11">
        <f t="shared" si="8"/>
        <v>9201.479800000001</v>
      </c>
      <c r="F289" s="11">
        <f t="shared" si="9"/>
        <v>6986.2163</v>
      </c>
    </row>
    <row r="290" spans="2:6" x14ac:dyDescent="0.25">
      <c r="B290" s="2">
        <v>0.28799999999999998</v>
      </c>
      <c r="E290" s="11">
        <f t="shared" si="8"/>
        <v>9197.8752000000004</v>
      </c>
      <c r="F290" s="11">
        <f t="shared" si="9"/>
        <v>6983.8512000000001</v>
      </c>
    </row>
    <row r="291" spans="2:6" x14ac:dyDescent="0.25">
      <c r="B291" s="2">
        <v>0.28899999999999998</v>
      </c>
      <c r="E291" s="11">
        <f t="shared" si="8"/>
        <v>9194.2705999999998</v>
      </c>
      <c r="F291" s="11">
        <f t="shared" si="9"/>
        <v>6981.4861000000001</v>
      </c>
    </row>
    <row r="292" spans="2:6" x14ac:dyDescent="0.25">
      <c r="B292" s="2">
        <v>0.28999999999999998</v>
      </c>
      <c r="E292" s="11">
        <f t="shared" si="8"/>
        <v>9190.6660000000011</v>
      </c>
      <c r="F292" s="11">
        <f t="shared" si="9"/>
        <v>6979.1210000000001</v>
      </c>
    </row>
    <row r="293" spans="2:6" x14ac:dyDescent="0.25">
      <c r="B293" s="2">
        <v>0.29099999999999998</v>
      </c>
      <c r="E293" s="11">
        <f t="shared" si="8"/>
        <v>9187.0614000000005</v>
      </c>
      <c r="F293" s="11">
        <f t="shared" si="9"/>
        <v>6976.7559000000001</v>
      </c>
    </row>
    <row r="294" spans="2:6" x14ac:dyDescent="0.25">
      <c r="B294" s="2">
        <v>0.29199999999999998</v>
      </c>
      <c r="E294" s="11">
        <f t="shared" si="8"/>
        <v>9183.4567999999999</v>
      </c>
      <c r="F294" s="11">
        <f t="shared" si="9"/>
        <v>6974.3908000000001</v>
      </c>
    </row>
    <row r="295" spans="2:6" x14ac:dyDescent="0.25">
      <c r="B295" s="2">
        <v>0.29299999999999998</v>
      </c>
      <c r="E295" s="11">
        <f t="shared" si="8"/>
        <v>9179.8521999999994</v>
      </c>
      <c r="F295" s="11">
        <f t="shared" si="9"/>
        <v>6972.0257000000001</v>
      </c>
    </row>
    <row r="296" spans="2:6" x14ac:dyDescent="0.25">
      <c r="B296" s="2">
        <v>0.29399999999999998</v>
      </c>
      <c r="E296" s="11">
        <f t="shared" si="8"/>
        <v>9176.2476000000006</v>
      </c>
      <c r="F296" s="11">
        <f t="shared" si="9"/>
        <v>6969.6606000000002</v>
      </c>
    </row>
    <row r="297" spans="2:6" x14ac:dyDescent="0.25">
      <c r="B297" s="2">
        <v>0.29499999999999998</v>
      </c>
      <c r="E297" s="11">
        <f t="shared" si="8"/>
        <v>9172.643</v>
      </c>
      <c r="F297" s="11">
        <f t="shared" si="9"/>
        <v>6967.2955000000002</v>
      </c>
    </row>
    <row r="298" spans="2:6" x14ac:dyDescent="0.25">
      <c r="B298" s="2">
        <v>0.29599999999999999</v>
      </c>
      <c r="E298" s="11">
        <f t="shared" si="8"/>
        <v>9169.0383999999995</v>
      </c>
      <c r="F298" s="11">
        <f t="shared" si="9"/>
        <v>6964.9304000000002</v>
      </c>
    </row>
    <row r="299" spans="2:6" x14ac:dyDescent="0.25">
      <c r="B299" s="2">
        <v>0.29699999999999999</v>
      </c>
      <c r="E299" s="11">
        <f t="shared" si="8"/>
        <v>9165.4338000000007</v>
      </c>
      <c r="F299" s="11">
        <f t="shared" si="9"/>
        <v>6962.5653000000002</v>
      </c>
    </row>
    <row r="300" spans="2:6" x14ac:dyDescent="0.25">
      <c r="B300" s="2">
        <v>0.29799999999999999</v>
      </c>
      <c r="E300" s="11">
        <f t="shared" si="8"/>
        <v>9161.8292000000001</v>
      </c>
      <c r="F300" s="11">
        <f t="shared" si="9"/>
        <v>6960.2002000000002</v>
      </c>
    </row>
    <row r="301" spans="2:6" x14ac:dyDescent="0.25">
      <c r="B301" s="2">
        <v>0.29899999999999999</v>
      </c>
      <c r="E301" s="11">
        <f t="shared" si="8"/>
        <v>9158.2245999999996</v>
      </c>
      <c r="F301" s="11">
        <f t="shared" si="9"/>
        <v>6957.8351000000002</v>
      </c>
    </row>
    <row r="302" spans="2:6" x14ac:dyDescent="0.25">
      <c r="B302" s="2">
        <v>0.3</v>
      </c>
      <c r="E302" s="11">
        <f t="shared" si="8"/>
        <v>9154.6200000000008</v>
      </c>
      <c r="F302" s="11">
        <f t="shared" si="9"/>
        <v>6955.47</v>
      </c>
    </row>
    <row r="303" spans="2:6" x14ac:dyDescent="0.25">
      <c r="B303" s="2">
        <v>0.30099999999999999</v>
      </c>
      <c r="E303" s="11">
        <f t="shared" si="8"/>
        <v>9151.0154000000002</v>
      </c>
      <c r="F303" s="11">
        <f t="shared" si="9"/>
        <v>6953.1049000000003</v>
      </c>
    </row>
    <row r="304" spans="2:6" x14ac:dyDescent="0.25">
      <c r="B304" s="2">
        <v>0.30199999999999999</v>
      </c>
      <c r="E304" s="11">
        <f t="shared" si="8"/>
        <v>9147.4107999999997</v>
      </c>
      <c r="F304" s="11">
        <f t="shared" si="9"/>
        <v>6950.7398000000003</v>
      </c>
    </row>
    <row r="305" spans="2:6" x14ac:dyDescent="0.25">
      <c r="B305" s="2">
        <v>0.30299999999999999</v>
      </c>
      <c r="E305" s="11">
        <f t="shared" si="8"/>
        <v>9143.8061999999991</v>
      </c>
      <c r="F305" s="11">
        <f t="shared" si="9"/>
        <v>6948.3747000000003</v>
      </c>
    </row>
    <row r="306" spans="2:6" x14ac:dyDescent="0.25">
      <c r="B306" s="2">
        <v>0.30399999999999999</v>
      </c>
      <c r="E306" s="11">
        <f t="shared" si="8"/>
        <v>9140.2016000000003</v>
      </c>
      <c r="F306" s="11">
        <f t="shared" si="9"/>
        <v>6946.0096000000003</v>
      </c>
    </row>
    <row r="307" spans="2:6" x14ac:dyDescent="0.25">
      <c r="B307" s="2">
        <v>0.30499999999999999</v>
      </c>
      <c r="E307" s="11">
        <f t="shared" si="8"/>
        <v>9136.5969999999998</v>
      </c>
      <c r="F307" s="11">
        <f t="shared" si="9"/>
        <v>6943.6445000000003</v>
      </c>
    </row>
    <row r="308" spans="2:6" x14ac:dyDescent="0.25">
      <c r="B308" s="2">
        <v>0.30599999999999999</v>
      </c>
      <c r="E308" s="11">
        <f t="shared" si="8"/>
        <v>9132.9923999999992</v>
      </c>
      <c r="F308" s="11">
        <f t="shared" si="9"/>
        <v>6941.2794000000004</v>
      </c>
    </row>
    <row r="309" spans="2:6" x14ac:dyDescent="0.25">
      <c r="B309" s="2">
        <v>0.307</v>
      </c>
      <c r="E309" s="11">
        <f t="shared" si="8"/>
        <v>9129.3878000000004</v>
      </c>
      <c r="F309" s="11">
        <f t="shared" si="9"/>
        <v>6938.9143000000004</v>
      </c>
    </row>
    <row r="310" spans="2:6" x14ac:dyDescent="0.25">
      <c r="B310" s="2">
        <v>0.308</v>
      </c>
      <c r="E310" s="11">
        <f t="shared" si="8"/>
        <v>9125.7831999999999</v>
      </c>
      <c r="F310" s="11">
        <f t="shared" si="9"/>
        <v>6936.5492000000004</v>
      </c>
    </row>
    <row r="311" spans="2:6" x14ac:dyDescent="0.25">
      <c r="B311" s="2">
        <v>0.309</v>
      </c>
      <c r="E311" s="11">
        <f t="shared" si="8"/>
        <v>9122.1785999999993</v>
      </c>
      <c r="F311" s="11">
        <f t="shared" si="9"/>
        <v>6934.1841000000004</v>
      </c>
    </row>
    <row r="312" spans="2:6" x14ac:dyDescent="0.25">
      <c r="B312" s="2">
        <v>0.31</v>
      </c>
      <c r="E312" s="11">
        <f t="shared" si="8"/>
        <v>9118.5740000000005</v>
      </c>
      <c r="F312" s="11">
        <f t="shared" si="9"/>
        <v>6931.8190000000004</v>
      </c>
    </row>
    <row r="313" spans="2:6" x14ac:dyDescent="0.25">
      <c r="B313" s="2">
        <v>0.311</v>
      </c>
      <c r="E313" s="11">
        <f t="shared" si="8"/>
        <v>9114.9694</v>
      </c>
      <c r="F313" s="11">
        <f t="shared" si="9"/>
        <v>6929.4539000000004</v>
      </c>
    </row>
    <row r="314" spans="2:6" x14ac:dyDescent="0.25">
      <c r="B314" s="2">
        <v>0.312</v>
      </c>
      <c r="E314" s="11">
        <f t="shared" si="8"/>
        <v>9111.3647999999994</v>
      </c>
      <c r="F314" s="11">
        <f t="shared" si="9"/>
        <v>6927.0887999999995</v>
      </c>
    </row>
    <row r="315" spans="2:6" x14ac:dyDescent="0.25">
      <c r="B315" s="2">
        <v>0.313</v>
      </c>
      <c r="E315" s="11">
        <f t="shared" si="8"/>
        <v>9107.7602000000006</v>
      </c>
      <c r="F315" s="11">
        <f t="shared" si="9"/>
        <v>6924.7237000000005</v>
      </c>
    </row>
    <row r="316" spans="2:6" x14ac:dyDescent="0.25">
      <c r="B316" s="2">
        <v>0.314</v>
      </c>
      <c r="E316" s="11">
        <f t="shared" si="8"/>
        <v>9104.1556</v>
      </c>
      <c r="F316" s="11">
        <f t="shared" si="9"/>
        <v>6922.3585999999996</v>
      </c>
    </row>
    <row r="317" spans="2:6" x14ac:dyDescent="0.25">
      <c r="B317" s="2">
        <v>0.315</v>
      </c>
      <c r="E317" s="11">
        <f t="shared" si="8"/>
        <v>9100.5509999999995</v>
      </c>
      <c r="F317" s="11">
        <f t="shared" si="9"/>
        <v>6919.9935000000005</v>
      </c>
    </row>
    <row r="318" spans="2:6" x14ac:dyDescent="0.25">
      <c r="B318" s="2">
        <v>0.316</v>
      </c>
      <c r="E318" s="11">
        <f t="shared" si="8"/>
        <v>9096.9464000000007</v>
      </c>
      <c r="F318" s="11">
        <f t="shared" si="9"/>
        <v>6917.6283999999996</v>
      </c>
    </row>
    <row r="319" spans="2:6" x14ac:dyDescent="0.25">
      <c r="B319" s="2">
        <v>0.317</v>
      </c>
      <c r="E319" s="11">
        <f t="shared" si="8"/>
        <v>9093.3418000000001</v>
      </c>
      <c r="F319" s="11">
        <f t="shared" si="9"/>
        <v>6915.2633000000005</v>
      </c>
    </row>
    <row r="320" spans="2:6" x14ac:dyDescent="0.25">
      <c r="B320" s="2">
        <v>0.318</v>
      </c>
      <c r="E320" s="11">
        <f t="shared" si="8"/>
        <v>9089.7371999999996</v>
      </c>
      <c r="F320" s="11">
        <f t="shared" si="9"/>
        <v>6912.8981999999996</v>
      </c>
    </row>
    <row r="321" spans="2:6" x14ac:dyDescent="0.25">
      <c r="B321" s="2">
        <v>0.31900000000000001</v>
      </c>
      <c r="E321" s="11">
        <f t="shared" si="8"/>
        <v>9086.1326000000008</v>
      </c>
      <c r="F321" s="11">
        <f t="shared" si="9"/>
        <v>6910.5330999999996</v>
      </c>
    </row>
    <row r="322" spans="2:6" x14ac:dyDescent="0.25">
      <c r="B322" s="2">
        <v>0.32</v>
      </c>
      <c r="E322" s="11">
        <f t="shared" si="8"/>
        <v>9082.5280000000002</v>
      </c>
      <c r="F322" s="11">
        <f t="shared" si="9"/>
        <v>6908.1679999999997</v>
      </c>
    </row>
    <row r="323" spans="2:6" x14ac:dyDescent="0.25">
      <c r="B323" s="2">
        <v>0.32100000000000001</v>
      </c>
      <c r="E323" s="11">
        <f t="shared" ref="E323:E386" si="10" xml:space="preserve"> -3604.6*B323 + 10236</f>
        <v>9078.9233999999997</v>
      </c>
      <c r="F323" s="11">
        <f t="shared" ref="F323:F386" si="11" xml:space="preserve"> -2365.1*B323 + 7665</f>
        <v>6905.8028999999997</v>
      </c>
    </row>
    <row r="324" spans="2:6" x14ac:dyDescent="0.25">
      <c r="B324" s="2">
        <v>0.32200000000000001</v>
      </c>
      <c r="E324" s="11">
        <f t="shared" si="10"/>
        <v>9075.3188000000009</v>
      </c>
      <c r="F324" s="11">
        <f t="shared" si="11"/>
        <v>6903.4377999999997</v>
      </c>
    </row>
    <row r="325" spans="2:6" x14ac:dyDescent="0.25">
      <c r="B325" s="2">
        <v>0.32300000000000001</v>
      </c>
      <c r="E325" s="11">
        <f t="shared" si="10"/>
        <v>9071.7142000000003</v>
      </c>
      <c r="F325" s="11">
        <f t="shared" si="11"/>
        <v>6901.0726999999997</v>
      </c>
    </row>
    <row r="326" spans="2:6" x14ac:dyDescent="0.25">
      <c r="B326" s="2">
        <v>0.32400000000000001</v>
      </c>
      <c r="E326" s="11">
        <f t="shared" si="10"/>
        <v>9068.1095999999998</v>
      </c>
      <c r="F326" s="11">
        <f t="shared" si="11"/>
        <v>6898.7075999999997</v>
      </c>
    </row>
    <row r="327" spans="2:6" x14ac:dyDescent="0.25">
      <c r="B327" s="2">
        <v>0.32500000000000001</v>
      </c>
      <c r="E327" s="11">
        <f t="shared" si="10"/>
        <v>9064.5049999999992</v>
      </c>
      <c r="F327" s="11">
        <f t="shared" si="11"/>
        <v>6896.3424999999997</v>
      </c>
    </row>
    <row r="328" spans="2:6" x14ac:dyDescent="0.25">
      <c r="B328" s="2">
        <v>0.32600000000000001</v>
      </c>
      <c r="E328" s="11">
        <f t="shared" si="10"/>
        <v>9060.9004000000004</v>
      </c>
      <c r="F328" s="11">
        <f t="shared" si="11"/>
        <v>6893.9773999999998</v>
      </c>
    </row>
    <row r="329" spans="2:6" x14ac:dyDescent="0.25">
      <c r="B329" s="2">
        <v>0.32700000000000001</v>
      </c>
      <c r="E329" s="11">
        <f t="shared" si="10"/>
        <v>9057.2957999999999</v>
      </c>
      <c r="F329" s="11">
        <f t="shared" si="11"/>
        <v>6891.6122999999998</v>
      </c>
    </row>
    <row r="330" spans="2:6" x14ac:dyDescent="0.25">
      <c r="B330" s="2">
        <v>0.32800000000000001</v>
      </c>
      <c r="E330" s="11">
        <f t="shared" si="10"/>
        <v>9053.6911999999993</v>
      </c>
      <c r="F330" s="11">
        <f t="shared" si="11"/>
        <v>6889.2471999999998</v>
      </c>
    </row>
    <row r="331" spans="2:6" x14ac:dyDescent="0.25">
      <c r="B331" s="2">
        <v>0.32900000000000001</v>
      </c>
      <c r="E331" s="11">
        <f t="shared" si="10"/>
        <v>9050.0866000000005</v>
      </c>
      <c r="F331" s="11">
        <f t="shared" si="11"/>
        <v>6886.8820999999998</v>
      </c>
    </row>
    <row r="332" spans="2:6" x14ac:dyDescent="0.25">
      <c r="B332" s="2">
        <v>0.33</v>
      </c>
      <c r="E332" s="11">
        <f t="shared" si="10"/>
        <v>9046.482</v>
      </c>
      <c r="F332" s="11">
        <f t="shared" si="11"/>
        <v>6884.5169999999998</v>
      </c>
    </row>
    <row r="333" spans="2:6" x14ac:dyDescent="0.25">
      <c r="B333" s="2">
        <v>0.33100000000000002</v>
      </c>
      <c r="E333" s="11">
        <f t="shared" si="10"/>
        <v>9042.8773999999994</v>
      </c>
      <c r="F333" s="11">
        <f t="shared" si="11"/>
        <v>6882.1518999999998</v>
      </c>
    </row>
    <row r="334" spans="2:6" x14ac:dyDescent="0.25">
      <c r="B334" s="2">
        <v>0.33200000000000002</v>
      </c>
      <c r="E334" s="11">
        <f t="shared" si="10"/>
        <v>9039.2728000000006</v>
      </c>
      <c r="F334" s="11">
        <f t="shared" si="11"/>
        <v>6879.7867999999999</v>
      </c>
    </row>
    <row r="335" spans="2:6" x14ac:dyDescent="0.25">
      <c r="B335" s="2">
        <v>0.33300000000000002</v>
      </c>
      <c r="E335" s="11">
        <f t="shared" si="10"/>
        <v>9035.6682000000001</v>
      </c>
      <c r="F335" s="11">
        <f t="shared" si="11"/>
        <v>6877.4216999999999</v>
      </c>
    </row>
    <row r="336" spans="2:6" x14ac:dyDescent="0.25">
      <c r="B336" s="2">
        <v>0.33400000000000002</v>
      </c>
      <c r="E336" s="11">
        <f t="shared" si="10"/>
        <v>9032.0635999999995</v>
      </c>
      <c r="F336" s="11">
        <f t="shared" si="11"/>
        <v>6875.0565999999999</v>
      </c>
    </row>
    <row r="337" spans="2:6" x14ac:dyDescent="0.25">
      <c r="B337" s="2">
        <v>0.33500000000000002</v>
      </c>
      <c r="E337" s="11">
        <f t="shared" si="10"/>
        <v>9028.4590000000007</v>
      </c>
      <c r="F337" s="11">
        <f t="shared" si="11"/>
        <v>6872.6914999999999</v>
      </c>
    </row>
    <row r="338" spans="2:6" x14ac:dyDescent="0.25">
      <c r="B338" s="2">
        <v>0.33600000000000002</v>
      </c>
      <c r="E338" s="11">
        <f t="shared" si="10"/>
        <v>9024.8544000000002</v>
      </c>
      <c r="F338" s="11">
        <f t="shared" si="11"/>
        <v>6870.3263999999999</v>
      </c>
    </row>
    <row r="339" spans="2:6" x14ac:dyDescent="0.25">
      <c r="B339" s="2">
        <v>0.33700000000000002</v>
      </c>
      <c r="E339" s="11">
        <f t="shared" si="10"/>
        <v>9021.2497999999996</v>
      </c>
      <c r="F339" s="11">
        <f t="shared" si="11"/>
        <v>6867.9612999999999</v>
      </c>
    </row>
    <row r="340" spans="2:6" x14ac:dyDescent="0.25">
      <c r="B340" s="2">
        <v>0.33800000000000002</v>
      </c>
      <c r="E340" s="11">
        <f t="shared" si="10"/>
        <v>9017.645199999999</v>
      </c>
      <c r="F340" s="11">
        <f t="shared" si="11"/>
        <v>6865.5962</v>
      </c>
    </row>
    <row r="341" spans="2:6" x14ac:dyDescent="0.25">
      <c r="B341" s="2">
        <v>0.33900000000000002</v>
      </c>
      <c r="E341" s="11">
        <f t="shared" si="10"/>
        <v>9014.0406000000003</v>
      </c>
      <c r="F341" s="11">
        <f t="shared" si="11"/>
        <v>6863.2311</v>
      </c>
    </row>
    <row r="342" spans="2:6" x14ac:dyDescent="0.25">
      <c r="B342" s="2">
        <v>0.34</v>
      </c>
      <c r="E342" s="11">
        <f t="shared" si="10"/>
        <v>9010.4359999999997</v>
      </c>
      <c r="F342" s="11">
        <f t="shared" si="11"/>
        <v>6860.866</v>
      </c>
    </row>
    <row r="343" spans="2:6" x14ac:dyDescent="0.25">
      <c r="B343" s="2">
        <v>0.34100000000000003</v>
      </c>
      <c r="E343" s="11">
        <f t="shared" si="10"/>
        <v>9006.8313999999991</v>
      </c>
      <c r="F343" s="11">
        <f t="shared" si="11"/>
        <v>6858.5009</v>
      </c>
    </row>
    <row r="344" spans="2:6" x14ac:dyDescent="0.25">
      <c r="B344" s="2">
        <v>0.34200000000000003</v>
      </c>
      <c r="E344" s="11">
        <f t="shared" si="10"/>
        <v>9003.2268000000004</v>
      </c>
      <c r="F344" s="11">
        <f t="shared" si="11"/>
        <v>6856.1358</v>
      </c>
    </row>
    <row r="345" spans="2:6" x14ac:dyDescent="0.25">
      <c r="B345" s="2">
        <v>0.34300000000000003</v>
      </c>
      <c r="E345" s="11">
        <f t="shared" si="10"/>
        <v>8999.6221999999998</v>
      </c>
      <c r="F345" s="11">
        <f t="shared" si="11"/>
        <v>6853.7707</v>
      </c>
    </row>
    <row r="346" spans="2:6" x14ac:dyDescent="0.25">
      <c r="B346" s="2">
        <v>0.34399999999999997</v>
      </c>
      <c r="E346" s="11">
        <f t="shared" si="10"/>
        <v>8996.0175999999992</v>
      </c>
      <c r="F346" s="11">
        <f t="shared" si="11"/>
        <v>6851.4056</v>
      </c>
    </row>
    <row r="347" spans="2:6" x14ac:dyDescent="0.25">
      <c r="B347" s="2">
        <v>0.34499999999999997</v>
      </c>
      <c r="E347" s="11">
        <f t="shared" si="10"/>
        <v>8992.4130000000005</v>
      </c>
      <c r="F347" s="11">
        <f t="shared" si="11"/>
        <v>6849.0405000000001</v>
      </c>
    </row>
    <row r="348" spans="2:6" x14ac:dyDescent="0.25">
      <c r="B348" s="2">
        <v>0.34599999999999997</v>
      </c>
      <c r="E348" s="11">
        <f t="shared" si="10"/>
        <v>8988.8083999999999</v>
      </c>
      <c r="F348" s="11">
        <f t="shared" si="11"/>
        <v>6846.6754000000001</v>
      </c>
    </row>
    <row r="349" spans="2:6" x14ac:dyDescent="0.25">
      <c r="B349" s="2">
        <v>0.34699999999999998</v>
      </c>
      <c r="E349" s="11">
        <f t="shared" si="10"/>
        <v>8985.2037999999993</v>
      </c>
      <c r="F349" s="11">
        <f t="shared" si="11"/>
        <v>6844.3103000000001</v>
      </c>
    </row>
    <row r="350" spans="2:6" x14ac:dyDescent="0.25">
      <c r="B350" s="2">
        <v>0.34799999999999998</v>
      </c>
      <c r="E350" s="11">
        <f t="shared" si="10"/>
        <v>8981.5992000000006</v>
      </c>
      <c r="F350" s="11">
        <f t="shared" si="11"/>
        <v>6841.9452000000001</v>
      </c>
    </row>
    <row r="351" spans="2:6" x14ac:dyDescent="0.25">
      <c r="B351" s="2">
        <v>0.34899999999999998</v>
      </c>
      <c r="E351" s="11">
        <f t="shared" si="10"/>
        <v>8977.9946</v>
      </c>
      <c r="F351" s="11">
        <f t="shared" si="11"/>
        <v>6839.5801000000001</v>
      </c>
    </row>
    <row r="352" spans="2:6" x14ac:dyDescent="0.25">
      <c r="B352" s="2">
        <v>0.35</v>
      </c>
      <c r="E352" s="11">
        <f t="shared" si="10"/>
        <v>8974.39</v>
      </c>
      <c r="F352" s="11">
        <f t="shared" si="11"/>
        <v>6837.2150000000001</v>
      </c>
    </row>
    <row r="353" spans="2:6" x14ac:dyDescent="0.25">
      <c r="B353" s="2">
        <v>0.35099999999999998</v>
      </c>
      <c r="E353" s="11">
        <f t="shared" si="10"/>
        <v>8970.7854000000007</v>
      </c>
      <c r="F353" s="11">
        <f t="shared" si="11"/>
        <v>6834.8499000000002</v>
      </c>
    </row>
    <row r="354" spans="2:6" x14ac:dyDescent="0.25">
      <c r="B354" s="2">
        <v>0.35199999999999998</v>
      </c>
      <c r="E354" s="11">
        <f t="shared" si="10"/>
        <v>8967.1808000000001</v>
      </c>
      <c r="F354" s="11">
        <f t="shared" si="11"/>
        <v>6832.4848000000002</v>
      </c>
    </row>
    <row r="355" spans="2:6" x14ac:dyDescent="0.25">
      <c r="B355" s="2">
        <v>0.35299999999999998</v>
      </c>
      <c r="E355" s="11">
        <f t="shared" si="10"/>
        <v>8963.5761999999995</v>
      </c>
      <c r="F355" s="11">
        <f t="shared" si="11"/>
        <v>6830.1197000000002</v>
      </c>
    </row>
    <row r="356" spans="2:6" x14ac:dyDescent="0.25">
      <c r="B356" s="2">
        <v>0.35399999999999998</v>
      </c>
      <c r="E356" s="11">
        <f t="shared" si="10"/>
        <v>8959.9716000000008</v>
      </c>
      <c r="F356" s="11">
        <f t="shared" si="11"/>
        <v>6827.7546000000002</v>
      </c>
    </row>
    <row r="357" spans="2:6" x14ac:dyDescent="0.25">
      <c r="B357" s="2">
        <v>0.35499999999999998</v>
      </c>
      <c r="E357" s="11">
        <f t="shared" si="10"/>
        <v>8956.3670000000002</v>
      </c>
      <c r="F357" s="11">
        <f t="shared" si="11"/>
        <v>6825.3895000000002</v>
      </c>
    </row>
    <row r="358" spans="2:6" x14ac:dyDescent="0.25">
      <c r="B358" s="2">
        <v>0.35599999999999998</v>
      </c>
      <c r="E358" s="11">
        <f t="shared" si="10"/>
        <v>8952.7623999999996</v>
      </c>
      <c r="F358" s="11">
        <f t="shared" si="11"/>
        <v>6823.0244000000002</v>
      </c>
    </row>
    <row r="359" spans="2:6" x14ac:dyDescent="0.25">
      <c r="B359" s="2">
        <v>0.35699999999999998</v>
      </c>
      <c r="E359" s="11">
        <f t="shared" si="10"/>
        <v>8949.1578000000009</v>
      </c>
      <c r="F359" s="11">
        <f t="shared" si="11"/>
        <v>6820.6593000000003</v>
      </c>
    </row>
    <row r="360" spans="2:6" x14ac:dyDescent="0.25">
      <c r="B360" s="2">
        <v>0.35799999999999998</v>
      </c>
      <c r="E360" s="11">
        <f t="shared" si="10"/>
        <v>8945.5532000000003</v>
      </c>
      <c r="F360" s="11">
        <f t="shared" si="11"/>
        <v>6818.2942000000003</v>
      </c>
    </row>
    <row r="361" spans="2:6" x14ac:dyDescent="0.25">
      <c r="B361" s="2">
        <v>0.35899999999999999</v>
      </c>
      <c r="E361" s="11">
        <f t="shared" si="10"/>
        <v>8941.9485999999997</v>
      </c>
      <c r="F361" s="11">
        <f t="shared" si="11"/>
        <v>6815.9291000000003</v>
      </c>
    </row>
    <row r="362" spans="2:6" x14ac:dyDescent="0.25">
      <c r="B362" s="2">
        <v>0.36</v>
      </c>
      <c r="E362" s="11">
        <f t="shared" si="10"/>
        <v>8938.344000000001</v>
      </c>
      <c r="F362" s="11">
        <f t="shared" si="11"/>
        <v>6813.5640000000003</v>
      </c>
    </row>
    <row r="363" spans="2:6" x14ac:dyDescent="0.25">
      <c r="B363" s="2">
        <v>0.36099999999999999</v>
      </c>
      <c r="E363" s="11">
        <f t="shared" si="10"/>
        <v>8934.7394000000004</v>
      </c>
      <c r="F363" s="11">
        <f t="shared" si="11"/>
        <v>6811.1989000000003</v>
      </c>
    </row>
    <row r="364" spans="2:6" x14ac:dyDescent="0.25">
      <c r="B364" s="2">
        <v>0.36199999999999999</v>
      </c>
      <c r="E364" s="11">
        <f t="shared" si="10"/>
        <v>8931.1347999999998</v>
      </c>
      <c r="F364" s="11">
        <f t="shared" si="11"/>
        <v>6808.8338000000003</v>
      </c>
    </row>
    <row r="365" spans="2:6" x14ac:dyDescent="0.25">
      <c r="B365" s="2">
        <v>0.36299999999999999</v>
      </c>
      <c r="E365" s="11">
        <f t="shared" si="10"/>
        <v>8927.5302000000011</v>
      </c>
      <c r="F365" s="11">
        <f t="shared" si="11"/>
        <v>6806.4687000000004</v>
      </c>
    </row>
    <row r="366" spans="2:6" x14ac:dyDescent="0.25">
      <c r="B366" s="2">
        <v>0.36399999999999999</v>
      </c>
      <c r="E366" s="11">
        <f t="shared" si="10"/>
        <v>8923.9256000000005</v>
      </c>
      <c r="F366" s="11">
        <f t="shared" si="11"/>
        <v>6804.1036000000004</v>
      </c>
    </row>
    <row r="367" spans="2:6" x14ac:dyDescent="0.25">
      <c r="B367" s="2">
        <v>0.36499999999999999</v>
      </c>
      <c r="E367" s="11">
        <f t="shared" si="10"/>
        <v>8920.3209999999999</v>
      </c>
      <c r="F367" s="11">
        <f t="shared" si="11"/>
        <v>6801.7385000000004</v>
      </c>
    </row>
    <row r="368" spans="2:6" x14ac:dyDescent="0.25">
      <c r="B368" s="2">
        <v>0.36599999999999999</v>
      </c>
      <c r="E368" s="11">
        <f t="shared" si="10"/>
        <v>8916.7163999999993</v>
      </c>
      <c r="F368" s="11">
        <f t="shared" si="11"/>
        <v>6799.3734000000004</v>
      </c>
    </row>
    <row r="369" spans="2:6" x14ac:dyDescent="0.25">
      <c r="B369" s="2">
        <v>0.36699999999999999</v>
      </c>
      <c r="E369" s="11">
        <f t="shared" si="10"/>
        <v>8913.1118000000006</v>
      </c>
      <c r="F369" s="11">
        <f t="shared" si="11"/>
        <v>6797.0083000000004</v>
      </c>
    </row>
    <row r="370" spans="2:6" x14ac:dyDescent="0.25">
      <c r="B370" s="2">
        <v>0.36799999999999999</v>
      </c>
      <c r="E370" s="11">
        <f t="shared" si="10"/>
        <v>8909.5072</v>
      </c>
      <c r="F370" s="11">
        <f t="shared" si="11"/>
        <v>6794.6432000000004</v>
      </c>
    </row>
    <row r="371" spans="2:6" x14ac:dyDescent="0.25">
      <c r="B371" s="2">
        <v>0.36899999999999999</v>
      </c>
      <c r="E371" s="11">
        <f t="shared" si="10"/>
        <v>8905.9025999999994</v>
      </c>
      <c r="F371" s="11">
        <f t="shared" si="11"/>
        <v>6792.2780999999995</v>
      </c>
    </row>
    <row r="372" spans="2:6" x14ac:dyDescent="0.25">
      <c r="B372" s="2">
        <v>0.37</v>
      </c>
      <c r="E372" s="11">
        <f t="shared" si="10"/>
        <v>8902.2980000000007</v>
      </c>
      <c r="F372" s="11">
        <f t="shared" si="11"/>
        <v>6789.9130000000005</v>
      </c>
    </row>
    <row r="373" spans="2:6" x14ac:dyDescent="0.25">
      <c r="B373" s="2">
        <v>0.371</v>
      </c>
      <c r="E373" s="11">
        <f t="shared" si="10"/>
        <v>8898.6934000000001</v>
      </c>
      <c r="F373" s="11">
        <f t="shared" si="11"/>
        <v>6787.5478999999996</v>
      </c>
    </row>
    <row r="374" spans="2:6" x14ac:dyDescent="0.25">
      <c r="B374" s="2">
        <v>0.372</v>
      </c>
      <c r="E374" s="11">
        <f t="shared" si="10"/>
        <v>8895.0887999999995</v>
      </c>
      <c r="F374" s="11">
        <f t="shared" si="11"/>
        <v>6785.1828000000005</v>
      </c>
    </row>
    <row r="375" spans="2:6" x14ac:dyDescent="0.25">
      <c r="B375" s="2">
        <v>0.373</v>
      </c>
      <c r="E375" s="11">
        <f t="shared" si="10"/>
        <v>8891.4842000000008</v>
      </c>
      <c r="F375" s="11">
        <f t="shared" si="11"/>
        <v>6782.8176999999996</v>
      </c>
    </row>
    <row r="376" spans="2:6" x14ac:dyDescent="0.25">
      <c r="B376" s="2">
        <v>0.374</v>
      </c>
      <c r="E376" s="11">
        <f t="shared" si="10"/>
        <v>8887.8796000000002</v>
      </c>
      <c r="F376" s="11">
        <f t="shared" si="11"/>
        <v>6780.4526000000005</v>
      </c>
    </row>
    <row r="377" spans="2:6" x14ac:dyDescent="0.25">
      <c r="B377" s="2">
        <v>0.375</v>
      </c>
      <c r="E377" s="11">
        <f t="shared" si="10"/>
        <v>8884.2749999999996</v>
      </c>
      <c r="F377" s="11">
        <f t="shared" si="11"/>
        <v>6778.0874999999996</v>
      </c>
    </row>
    <row r="378" spans="2:6" x14ac:dyDescent="0.25">
      <c r="B378" s="2">
        <v>0.376</v>
      </c>
      <c r="E378" s="11">
        <f t="shared" si="10"/>
        <v>8880.6703999999991</v>
      </c>
      <c r="F378" s="11">
        <f t="shared" si="11"/>
        <v>6775.7223999999997</v>
      </c>
    </row>
    <row r="379" spans="2:6" x14ac:dyDescent="0.25">
      <c r="B379" s="2">
        <v>0.377</v>
      </c>
      <c r="E379" s="11">
        <f t="shared" si="10"/>
        <v>8877.0658000000003</v>
      </c>
      <c r="F379" s="11">
        <f t="shared" si="11"/>
        <v>6773.3572999999997</v>
      </c>
    </row>
    <row r="380" spans="2:6" x14ac:dyDescent="0.25">
      <c r="B380" s="2">
        <v>0.378</v>
      </c>
      <c r="E380" s="11">
        <f t="shared" si="10"/>
        <v>8873.4611999999997</v>
      </c>
      <c r="F380" s="11">
        <f t="shared" si="11"/>
        <v>6770.9921999999997</v>
      </c>
    </row>
    <row r="381" spans="2:6" x14ac:dyDescent="0.25">
      <c r="B381" s="2">
        <v>0.379</v>
      </c>
      <c r="E381" s="11">
        <f t="shared" si="10"/>
        <v>8869.8565999999992</v>
      </c>
      <c r="F381" s="11">
        <f t="shared" si="11"/>
        <v>6768.6270999999997</v>
      </c>
    </row>
    <row r="382" spans="2:6" x14ac:dyDescent="0.25">
      <c r="B382" s="2">
        <v>0.38</v>
      </c>
      <c r="E382" s="11">
        <f t="shared" si="10"/>
        <v>8866.2520000000004</v>
      </c>
      <c r="F382" s="11">
        <f t="shared" si="11"/>
        <v>6766.2619999999997</v>
      </c>
    </row>
    <row r="383" spans="2:6" x14ac:dyDescent="0.25">
      <c r="B383" s="2">
        <v>0.38100000000000001</v>
      </c>
      <c r="E383" s="11">
        <f t="shared" si="10"/>
        <v>8862.6473999999998</v>
      </c>
      <c r="F383" s="11">
        <f t="shared" si="11"/>
        <v>6763.8968999999997</v>
      </c>
    </row>
    <row r="384" spans="2:6" x14ac:dyDescent="0.25">
      <c r="B384" s="2">
        <v>0.38200000000000001</v>
      </c>
      <c r="E384" s="11">
        <f t="shared" si="10"/>
        <v>8859.0427999999993</v>
      </c>
      <c r="F384" s="11">
        <f t="shared" si="11"/>
        <v>6761.5317999999997</v>
      </c>
    </row>
    <row r="385" spans="2:6" x14ac:dyDescent="0.25">
      <c r="B385" s="2">
        <v>0.38300000000000001</v>
      </c>
      <c r="E385" s="11">
        <f t="shared" si="10"/>
        <v>8855.4382000000005</v>
      </c>
      <c r="F385" s="11">
        <f t="shared" si="11"/>
        <v>6759.1666999999998</v>
      </c>
    </row>
    <row r="386" spans="2:6" x14ac:dyDescent="0.25">
      <c r="B386" s="2">
        <v>0.38400000000000001</v>
      </c>
      <c r="E386" s="11">
        <f t="shared" si="10"/>
        <v>8851.8335999999999</v>
      </c>
      <c r="F386" s="11">
        <f t="shared" si="11"/>
        <v>6756.8015999999998</v>
      </c>
    </row>
    <row r="387" spans="2:6" x14ac:dyDescent="0.25">
      <c r="B387" s="2">
        <v>0.38500000000000001</v>
      </c>
      <c r="E387" s="11">
        <f t="shared" ref="E387:E450" si="12" xml:space="preserve"> -3604.6*B387 + 10236</f>
        <v>8848.2289999999994</v>
      </c>
      <c r="F387" s="11">
        <f t="shared" ref="F387:F450" si="13" xml:space="preserve"> -2365.1*B387 + 7665</f>
        <v>6754.4364999999998</v>
      </c>
    </row>
    <row r="388" spans="2:6" x14ac:dyDescent="0.25">
      <c r="B388" s="2">
        <v>0.38600000000000001</v>
      </c>
      <c r="E388" s="11">
        <f t="shared" si="12"/>
        <v>8844.6244000000006</v>
      </c>
      <c r="F388" s="11">
        <f t="shared" si="13"/>
        <v>6752.0713999999998</v>
      </c>
    </row>
    <row r="389" spans="2:6" x14ac:dyDescent="0.25">
      <c r="B389" s="2">
        <v>0.38700000000000001</v>
      </c>
      <c r="E389" s="11">
        <f t="shared" si="12"/>
        <v>8841.0198</v>
      </c>
      <c r="F389" s="11">
        <f t="shared" si="13"/>
        <v>6749.7062999999998</v>
      </c>
    </row>
    <row r="390" spans="2:6" x14ac:dyDescent="0.25">
      <c r="B390" s="2">
        <v>0.38800000000000001</v>
      </c>
      <c r="E390" s="11">
        <f t="shared" si="12"/>
        <v>8837.4151999999995</v>
      </c>
      <c r="F390" s="11">
        <f t="shared" si="13"/>
        <v>6747.3411999999998</v>
      </c>
    </row>
    <row r="391" spans="2:6" x14ac:dyDescent="0.25">
      <c r="B391" s="2">
        <v>0.38900000000000001</v>
      </c>
      <c r="E391" s="11">
        <f t="shared" si="12"/>
        <v>8833.8106000000007</v>
      </c>
      <c r="F391" s="11">
        <f t="shared" si="13"/>
        <v>6744.9760999999999</v>
      </c>
    </row>
    <row r="392" spans="2:6" x14ac:dyDescent="0.25">
      <c r="B392" s="2">
        <v>0.39</v>
      </c>
      <c r="E392" s="11">
        <f t="shared" si="12"/>
        <v>8830.2060000000001</v>
      </c>
      <c r="F392" s="11">
        <f t="shared" si="13"/>
        <v>6742.6109999999999</v>
      </c>
    </row>
    <row r="393" spans="2:6" x14ac:dyDescent="0.25">
      <c r="B393" s="2">
        <v>0.39100000000000001</v>
      </c>
      <c r="E393" s="11">
        <f t="shared" si="12"/>
        <v>8826.6013999999996</v>
      </c>
      <c r="F393" s="11">
        <f t="shared" si="13"/>
        <v>6740.2458999999999</v>
      </c>
    </row>
    <row r="394" spans="2:6" x14ac:dyDescent="0.25">
      <c r="B394" s="2">
        <v>0.39200000000000002</v>
      </c>
      <c r="E394" s="11">
        <f t="shared" si="12"/>
        <v>8822.9968000000008</v>
      </c>
      <c r="F394" s="11">
        <f t="shared" si="13"/>
        <v>6737.8807999999999</v>
      </c>
    </row>
    <row r="395" spans="2:6" x14ac:dyDescent="0.25">
      <c r="B395" s="2">
        <v>0.39300000000000002</v>
      </c>
      <c r="E395" s="11">
        <f t="shared" si="12"/>
        <v>8819.3922000000002</v>
      </c>
      <c r="F395" s="11">
        <f t="shared" si="13"/>
        <v>6735.5156999999999</v>
      </c>
    </row>
    <row r="396" spans="2:6" x14ac:dyDescent="0.25">
      <c r="B396" s="2">
        <v>0.39400000000000002</v>
      </c>
      <c r="E396" s="11">
        <f t="shared" si="12"/>
        <v>8815.7875999999997</v>
      </c>
      <c r="F396" s="11">
        <f t="shared" si="13"/>
        <v>6733.1505999999999</v>
      </c>
    </row>
    <row r="397" spans="2:6" x14ac:dyDescent="0.25">
      <c r="B397" s="2">
        <v>0.39500000000000002</v>
      </c>
      <c r="E397" s="11">
        <f t="shared" si="12"/>
        <v>8812.1830000000009</v>
      </c>
      <c r="F397" s="11">
        <f t="shared" si="13"/>
        <v>6730.7855</v>
      </c>
    </row>
    <row r="398" spans="2:6" x14ac:dyDescent="0.25">
      <c r="B398" s="2">
        <v>0.39600000000000002</v>
      </c>
      <c r="E398" s="11">
        <f t="shared" si="12"/>
        <v>8808.5784000000003</v>
      </c>
      <c r="F398" s="11">
        <f t="shared" si="13"/>
        <v>6728.4204</v>
      </c>
    </row>
    <row r="399" spans="2:6" x14ac:dyDescent="0.25">
      <c r="B399" s="2">
        <v>0.39700000000000002</v>
      </c>
      <c r="E399" s="11">
        <f t="shared" si="12"/>
        <v>8804.9737999999998</v>
      </c>
      <c r="F399" s="11">
        <f t="shared" si="13"/>
        <v>6726.0553</v>
      </c>
    </row>
    <row r="400" spans="2:6" x14ac:dyDescent="0.25">
      <c r="B400" s="2">
        <v>0.39800000000000002</v>
      </c>
      <c r="E400" s="11">
        <f t="shared" si="12"/>
        <v>8801.3691999999992</v>
      </c>
      <c r="F400" s="11">
        <f t="shared" si="13"/>
        <v>6723.6902</v>
      </c>
    </row>
    <row r="401" spans="2:6" x14ac:dyDescent="0.25">
      <c r="B401" s="2">
        <v>0.39900000000000002</v>
      </c>
      <c r="E401" s="11">
        <f t="shared" si="12"/>
        <v>8797.7646000000004</v>
      </c>
      <c r="F401" s="11">
        <f t="shared" si="13"/>
        <v>6721.3251</v>
      </c>
    </row>
    <row r="402" spans="2:6" x14ac:dyDescent="0.25">
      <c r="B402" s="2">
        <v>0.4</v>
      </c>
      <c r="E402" s="11">
        <f t="shared" si="12"/>
        <v>8794.16</v>
      </c>
      <c r="F402" s="11">
        <f t="shared" si="13"/>
        <v>6718.96</v>
      </c>
    </row>
    <row r="403" spans="2:6" x14ac:dyDescent="0.25">
      <c r="B403" s="2">
        <v>0.40100000000000002</v>
      </c>
      <c r="E403" s="11">
        <f t="shared" si="12"/>
        <v>8790.5553999999993</v>
      </c>
      <c r="F403" s="11">
        <f t="shared" si="13"/>
        <v>6716.5949000000001</v>
      </c>
    </row>
    <row r="404" spans="2:6" x14ac:dyDescent="0.25">
      <c r="B404" s="2">
        <v>0.40200000000000002</v>
      </c>
      <c r="E404" s="11">
        <f t="shared" si="12"/>
        <v>8786.9508000000005</v>
      </c>
      <c r="F404" s="11">
        <f t="shared" si="13"/>
        <v>6714.2298000000001</v>
      </c>
    </row>
    <row r="405" spans="2:6" x14ac:dyDescent="0.25">
      <c r="B405" s="2">
        <v>0.40300000000000002</v>
      </c>
      <c r="E405" s="11">
        <f t="shared" si="12"/>
        <v>8783.3462</v>
      </c>
      <c r="F405" s="11">
        <f t="shared" si="13"/>
        <v>6711.8647000000001</v>
      </c>
    </row>
    <row r="406" spans="2:6" x14ac:dyDescent="0.25">
      <c r="B406" s="2">
        <v>0.40400000000000003</v>
      </c>
      <c r="E406" s="11">
        <f t="shared" si="12"/>
        <v>8779.7415999999994</v>
      </c>
      <c r="F406" s="11">
        <f t="shared" si="13"/>
        <v>6709.4996000000001</v>
      </c>
    </row>
    <row r="407" spans="2:6" x14ac:dyDescent="0.25">
      <c r="B407" s="2">
        <v>0.40500000000000003</v>
      </c>
      <c r="E407" s="11">
        <f t="shared" si="12"/>
        <v>8776.1370000000006</v>
      </c>
      <c r="F407" s="11">
        <f t="shared" si="13"/>
        <v>6707.1345000000001</v>
      </c>
    </row>
    <row r="408" spans="2:6" x14ac:dyDescent="0.25">
      <c r="B408" s="2">
        <v>0.40600000000000003</v>
      </c>
      <c r="E408" s="11">
        <f t="shared" si="12"/>
        <v>8772.5324000000001</v>
      </c>
      <c r="F408" s="11">
        <f t="shared" si="13"/>
        <v>6704.7694000000001</v>
      </c>
    </row>
    <row r="409" spans="2:6" x14ac:dyDescent="0.25">
      <c r="B409" s="2">
        <v>0.40699999999999997</v>
      </c>
      <c r="E409" s="11">
        <f t="shared" si="12"/>
        <v>8768.9277999999995</v>
      </c>
      <c r="F409" s="11">
        <f t="shared" si="13"/>
        <v>6702.4043000000001</v>
      </c>
    </row>
    <row r="410" spans="2:6" x14ac:dyDescent="0.25">
      <c r="B410" s="2">
        <v>0.40799999999999997</v>
      </c>
      <c r="E410" s="11">
        <f t="shared" si="12"/>
        <v>8765.3232000000007</v>
      </c>
      <c r="F410" s="11">
        <f t="shared" si="13"/>
        <v>6700.0392000000002</v>
      </c>
    </row>
    <row r="411" spans="2:6" x14ac:dyDescent="0.25">
      <c r="B411" s="2">
        <v>0.40899999999999997</v>
      </c>
      <c r="E411" s="11">
        <f t="shared" si="12"/>
        <v>8761.7186000000002</v>
      </c>
      <c r="F411" s="11">
        <f t="shared" si="13"/>
        <v>6697.6741000000002</v>
      </c>
    </row>
    <row r="412" spans="2:6" x14ac:dyDescent="0.25">
      <c r="B412" s="2">
        <v>0.41</v>
      </c>
      <c r="E412" s="11">
        <f t="shared" si="12"/>
        <v>8758.1139999999996</v>
      </c>
      <c r="F412" s="11">
        <f t="shared" si="13"/>
        <v>6695.3090000000002</v>
      </c>
    </row>
    <row r="413" spans="2:6" x14ac:dyDescent="0.25">
      <c r="B413" s="2">
        <v>0.41099999999999998</v>
      </c>
      <c r="E413" s="11">
        <f t="shared" si="12"/>
        <v>8754.5094000000008</v>
      </c>
      <c r="F413" s="11">
        <f t="shared" si="13"/>
        <v>6692.9439000000002</v>
      </c>
    </row>
    <row r="414" spans="2:6" x14ac:dyDescent="0.25">
      <c r="B414" s="2">
        <v>0.41199999999999998</v>
      </c>
      <c r="E414" s="11">
        <f t="shared" si="12"/>
        <v>8750.9048000000003</v>
      </c>
      <c r="F414" s="11">
        <f t="shared" si="13"/>
        <v>6690.5788000000002</v>
      </c>
    </row>
    <row r="415" spans="2:6" x14ac:dyDescent="0.25">
      <c r="B415" s="2">
        <v>0.41299999999999998</v>
      </c>
      <c r="E415" s="11">
        <f t="shared" si="12"/>
        <v>8747.3001999999997</v>
      </c>
      <c r="F415" s="11">
        <f t="shared" si="13"/>
        <v>6688.2137000000002</v>
      </c>
    </row>
    <row r="416" spans="2:6" x14ac:dyDescent="0.25">
      <c r="B416" s="2">
        <v>0.41399999999999998</v>
      </c>
      <c r="E416" s="11">
        <f t="shared" si="12"/>
        <v>8743.6955999999991</v>
      </c>
      <c r="F416" s="11">
        <f t="shared" si="13"/>
        <v>6685.8486000000003</v>
      </c>
    </row>
    <row r="417" spans="2:6" x14ac:dyDescent="0.25">
      <c r="B417" s="2">
        <v>0.41499999999999998</v>
      </c>
      <c r="E417" s="11">
        <f t="shared" si="12"/>
        <v>8740.0910000000003</v>
      </c>
      <c r="F417" s="11">
        <f t="shared" si="13"/>
        <v>6683.4835000000003</v>
      </c>
    </row>
    <row r="418" spans="2:6" x14ac:dyDescent="0.25">
      <c r="B418" s="2">
        <v>0.41599999999999998</v>
      </c>
      <c r="E418" s="11">
        <f t="shared" si="12"/>
        <v>8736.4863999999998</v>
      </c>
      <c r="F418" s="11">
        <f t="shared" si="13"/>
        <v>6681.1184000000003</v>
      </c>
    </row>
    <row r="419" spans="2:6" x14ac:dyDescent="0.25">
      <c r="B419" s="2">
        <v>0.41699999999999998</v>
      </c>
      <c r="E419" s="11">
        <f t="shared" si="12"/>
        <v>8732.8817999999992</v>
      </c>
      <c r="F419" s="11">
        <f t="shared" si="13"/>
        <v>6678.7533000000003</v>
      </c>
    </row>
    <row r="420" spans="2:6" x14ac:dyDescent="0.25">
      <c r="B420" s="2">
        <v>0.41799999999999998</v>
      </c>
      <c r="E420" s="11">
        <f t="shared" si="12"/>
        <v>8729.2772000000004</v>
      </c>
      <c r="F420" s="11">
        <f t="shared" si="13"/>
        <v>6676.3882000000003</v>
      </c>
    </row>
    <row r="421" spans="2:6" x14ac:dyDescent="0.25">
      <c r="B421" s="2">
        <v>0.41899999999999998</v>
      </c>
      <c r="E421" s="11">
        <f t="shared" si="12"/>
        <v>8725.6725999999999</v>
      </c>
      <c r="F421" s="11">
        <f t="shared" si="13"/>
        <v>6674.0231000000003</v>
      </c>
    </row>
    <row r="422" spans="2:6" x14ac:dyDescent="0.25">
      <c r="B422" s="2">
        <v>0.42</v>
      </c>
      <c r="E422" s="11">
        <f t="shared" si="12"/>
        <v>8722.0679999999993</v>
      </c>
      <c r="F422" s="11">
        <f t="shared" si="13"/>
        <v>6671.6580000000004</v>
      </c>
    </row>
    <row r="423" spans="2:6" x14ac:dyDescent="0.25">
      <c r="B423" s="2">
        <v>0.42099999999999999</v>
      </c>
      <c r="E423" s="11">
        <f t="shared" si="12"/>
        <v>8718.4634000000005</v>
      </c>
      <c r="F423" s="11">
        <f t="shared" si="13"/>
        <v>6669.2929000000004</v>
      </c>
    </row>
    <row r="424" spans="2:6" x14ac:dyDescent="0.25">
      <c r="B424" s="2">
        <v>0.42199999999999999</v>
      </c>
      <c r="E424" s="11">
        <f t="shared" si="12"/>
        <v>8714.8588</v>
      </c>
      <c r="F424" s="11">
        <f t="shared" si="13"/>
        <v>6666.9278000000004</v>
      </c>
    </row>
    <row r="425" spans="2:6" x14ac:dyDescent="0.25">
      <c r="B425" s="2">
        <v>0.42299999999999999</v>
      </c>
      <c r="E425" s="11">
        <f t="shared" si="12"/>
        <v>8711.2541999999994</v>
      </c>
      <c r="F425" s="11">
        <f t="shared" si="13"/>
        <v>6664.5627000000004</v>
      </c>
    </row>
    <row r="426" spans="2:6" x14ac:dyDescent="0.25">
      <c r="B426" s="2">
        <v>0.42399999999999999</v>
      </c>
      <c r="E426" s="11">
        <f t="shared" si="12"/>
        <v>8707.6496000000006</v>
      </c>
      <c r="F426" s="11">
        <f t="shared" si="13"/>
        <v>6662.1976000000004</v>
      </c>
    </row>
    <row r="427" spans="2:6" x14ac:dyDescent="0.25">
      <c r="B427" s="2">
        <v>0.42499999999999999</v>
      </c>
      <c r="E427" s="11">
        <f t="shared" si="12"/>
        <v>8704.0450000000001</v>
      </c>
      <c r="F427" s="11">
        <f t="shared" si="13"/>
        <v>6659.8325000000004</v>
      </c>
    </row>
    <row r="428" spans="2:6" x14ac:dyDescent="0.25">
      <c r="B428" s="2">
        <v>0.42599999999999999</v>
      </c>
      <c r="E428" s="11">
        <f t="shared" si="12"/>
        <v>8700.4403999999995</v>
      </c>
      <c r="F428" s="11">
        <f t="shared" si="13"/>
        <v>6657.4674000000005</v>
      </c>
    </row>
    <row r="429" spans="2:6" x14ac:dyDescent="0.25">
      <c r="B429" s="2">
        <v>0.42699999999999999</v>
      </c>
      <c r="E429" s="11">
        <f t="shared" si="12"/>
        <v>8696.8358000000007</v>
      </c>
      <c r="F429" s="11">
        <f t="shared" si="13"/>
        <v>6655.1023000000005</v>
      </c>
    </row>
    <row r="430" spans="2:6" x14ac:dyDescent="0.25">
      <c r="B430" s="2">
        <v>0.42799999999999999</v>
      </c>
      <c r="E430" s="11">
        <f t="shared" si="12"/>
        <v>8693.2312000000002</v>
      </c>
      <c r="F430" s="11">
        <f t="shared" si="13"/>
        <v>6652.7371999999996</v>
      </c>
    </row>
    <row r="431" spans="2:6" x14ac:dyDescent="0.25">
      <c r="B431" s="2">
        <v>0.42899999999999999</v>
      </c>
      <c r="E431" s="11">
        <f t="shared" si="12"/>
        <v>8689.6265999999996</v>
      </c>
      <c r="F431" s="11">
        <f t="shared" si="13"/>
        <v>6650.3721000000005</v>
      </c>
    </row>
    <row r="432" spans="2:6" x14ac:dyDescent="0.25">
      <c r="B432" s="2">
        <v>0.43</v>
      </c>
      <c r="E432" s="11">
        <f t="shared" si="12"/>
        <v>8686.0220000000008</v>
      </c>
      <c r="F432" s="11">
        <f t="shared" si="13"/>
        <v>6648.0069999999996</v>
      </c>
    </row>
    <row r="433" spans="2:6" x14ac:dyDescent="0.25">
      <c r="B433" s="2">
        <v>0.43099999999999999</v>
      </c>
      <c r="E433" s="11">
        <f t="shared" si="12"/>
        <v>8682.4174000000003</v>
      </c>
      <c r="F433" s="11">
        <f t="shared" si="13"/>
        <v>6645.6419000000005</v>
      </c>
    </row>
    <row r="434" spans="2:6" x14ac:dyDescent="0.25">
      <c r="B434" s="2">
        <v>0.432</v>
      </c>
      <c r="E434" s="11">
        <f t="shared" si="12"/>
        <v>8678.8127999999997</v>
      </c>
      <c r="F434" s="11">
        <f t="shared" si="13"/>
        <v>6643.2767999999996</v>
      </c>
    </row>
    <row r="435" spans="2:6" x14ac:dyDescent="0.25">
      <c r="B435" s="2">
        <v>0.433</v>
      </c>
      <c r="E435" s="11">
        <f t="shared" si="12"/>
        <v>8675.2082000000009</v>
      </c>
      <c r="F435" s="11">
        <f t="shared" si="13"/>
        <v>6640.9117000000006</v>
      </c>
    </row>
    <row r="436" spans="2:6" x14ac:dyDescent="0.25">
      <c r="B436" s="2">
        <v>0.434</v>
      </c>
      <c r="E436" s="11">
        <f t="shared" si="12"/>
        <v>8671.6036000000004</v>
      </c>
      <c r="F436" s="11">
        <f t="shared" si="13"/>
        <v>6638.5465999999997</v>
      </c>
    </row>
    <row r="437" spans="2:6" x14ac:dyDescent="0.25">
      <c r="B437" s="2">
        <v>0.435</v>
      </c>
      <c r="E437" s="11">
        <f t="shared" si="12"/>
        <v>8667.9989999999998</v>
      </c>
      <c r="F437" s="11">
        <f t="shared" si="13"/>
        <v>6636.1815000000006</v>
      </c>
    </row>
    <row r="438" spans="2:6" x14ac:dyDescent="0.25">
      <c r="B438" s="2">
        <v>0.436</v>
      </c>
      <c r="E438" s="11">
        <f t="shared" si="12"/>
        <v>8664.394400000001</v>
      </c>
      <c r="F438" s="11">
        <f t="shared" si="13"/>
        <v>6633.8163999999997</v>
      </c>
    </row>
    <row r="439" spans="2:6" x14ac:dyDescent="0.25">
      <c r="B439" s="2">
        <v>0.437</v>
      </c>
      <c r="E439" s="11">
        <f t="shared" si="12"/>
        <v>8660.7898000000005</v>
      </c>
      <c r="F439" s="11">
        <f t="shared" si="13"/>
        <v>6631.4512999999997</v>
      </c>
    </row>
    <row r="440" spans="2:6" x14ac:dyDescent="0.25">
      <c r="B440" s="2">
        <v>0.438</v>
      </c>
      <c r="E440" s="11">
        <f t="shared" si="12"/>
        <v>8657.1851999999999</v>
      </c>
      <c r="F440" s="11">
        <f t="shared" si="13"/>
        <v>6629.0861999999997</v>
      </c>
    </row>
    <row r="441" spans="2:6" x14ac:dyDescent="0.25">
      <c r="B441" s="2">
        <v>0.439</v>
      </c>
      <c r="E441" s="11">
        <f t="shared" si="12"/>
        <v>8653.5805999999993</v>
      </c>
      <c r="F441" s="11">
        <f t="shared" si="13"/>
        <v>6626.7210999999998</v>
      </c>
    </row>
    <row r="442" spans="2:6" x14ac:dyDescent="0.25">
      <c r="B442" s="2">
        <v>0.44</v>
      </c>
      <c r="E442" s="11">
        <f t="shared" si="12"/>
        <v>8649.9760000000006</v>
      </c>
      <c r="F442" s="11">
        <f t="shared" si="13"/>
        <v>6624.3559999999998</v>
      </c>
    </row>
    <row r="443" spans="2:6" x14ac:dyDescent="0.25">
      <c r="B443" s="2">
        <v>0.441</v>
      </c>
      <c r="E443" s="11">
        <f t="shared" si="12"/>
        <v>8646.3714</v>
      </c>
      <c r="F443" s="11">
        <f t="shared" si="13"/>
        <v>6621.9908999999998</v>
      </c>
    </row>
    <row r="444" spans="2:6" x14ac:dyDescent="0.25">
      <c r="B444" s="2">
        <v>0.442</v>
      </c>
      <c r="E444" s="11">
        <f t="shared" si="12"/>
        <v>8642.7667999999994</v>
      </c>
      <c r="F444" s="11">
        <f t="shared" si="13"/>
        <v>6619.6257999999998</v>
      </c>
    </row>
    <row r="445" spans="2:6" x14ac:dyDescent="0.25">
      <c r="B445" s="2">
        <v>0.443</v>
      </c>
      <c r="E445" s="11">
        <f t="shared" si="12"/>
        <v>8639.1622000000007</v>
      </c>
      <c r="F445" s="11">
        <f t="shared" si="13"/>
        <v>6617.2606999999998</v>
      </c>
    </row>
    <row r="446" spans="2:6" x14ac:dyDescent="0.25">
      <c r="B446" s="2">
        <v>0.44400000000000001</v>
      </c>
      <c r="E446" s="11">
        <f t="shared" si="12"/>
        <v>8635.5576000000001</v>
      </c>
      <c r="F446" s="11">
        <f t="shared" si="13"/>
        <v>6614.8955999999998</v>
      </c>
    </row>
    <row r="447" spans="2:6" x14ac:dyDescent="0.25">
      <c r="B447" s="2">
        <v>0.44500000000000001</v>
      </c>
      <c r="E447" s="11">
        <f t="shared" si="12"/>
        <v>8631.9529999999995</v>
      </c>
      <c r="F447" s="11">
        <f t="shared" si="13"/>
        <v>6612.5304999999998</v>
      </c>
    </row>
    <row r="448" spans="2:6" x14ac:dyDescent="0.25">
      <c r="B448" s="2">
        <v>0.44600000000000001</v>
      </c>
      <c r="E448" s="11">
        <f t="shared" si="12"/>
        <v>8628.3484000000008</v>
      </c>
      <c r="F448" s="11">
        <f t="shared" si="13"/>
        <v>6610.1653999999999</v>
      </c>
    </row>
    <row r="449" spans="2:6" x14ac:dyDescent="0.25">
      <c r="B449" s="2">
        <v>0.44700000000000001</v>
      </c>
      <c r="E449" s="11">
        <f t="shared" si="12"/>
        <v>8624.7438000000002</v>
      </c>
      <c r="F449" s="11">
        <f t="shared" si="13"/>
        <v>6607.8002999999999</v>
      </c>
    </row>
    <row r="450" spans="2:6" x14ac:dyDescent="0.25">
      <c r="B450" s="2">
        <v>0.44800000000000001</v>
      </c>
      <c r="E450" s="11">
        <f t="shared" si="12"/>
        <v>8621.1391999999996</v>
      </c>
      <c r="F450" s="11">
        <f t="shared" si="13"/>
        <v>6605.4351999999999</v>
      </c>
    </row>
    <row r="451" spans="2:6" x14ac:dyDescent="0.25">
      <c r="B451" s="2">
        <v>0.44900000000000001</v>
      </c>
      <c r="E451" s="11">
        <f t="shared" ref="E451:E496" si="14" xml:space="preserve"> -3604.6*B451 + 10236</f>
        <v>8617.534599999999</v>
      </c>
      <c r="F451" s="11">
        <f t="shared" ref="F451:F496" si="15" xml:space="preserve"> -2365.1*B451 + 7665</f>
        <v>6603.0700999999999</v>
      </c>
    </row>
    <row r="452" spans="2:6" x14ac:dyDescent="0.25">
      <c r="B452" s="2">
        <v>0.45</v>
      </c>
      <c r="E452" s="11">
        <f t="shared" si="14"/>
        <v>8613.93</v>
      </c>
      <c r="F452" s="11">
        <f t="shared" si="15"/>
        <v>6600.7049999999999</v>
      </c>
    </row>
    <row r="453" spans="2:6" x14ac:dyDescent="0.25">
      <c r="B453" s="2">
        <v>0.45100000000000001</v>
      </c>
      <c r="E453" s="11">
        <f t="shared" si="14"/>
        <v>8610.3253999999997</v>
      </c>
      <c r="F453" s="11">
        <f t="shared" si="15"/>
        <v>6598.3398999999999</v>
      </c>
    </row>
    <row r="454" spans="2:6" x14ac:dyDescent="0.25">
      <c r="B454" s="2">
        <v>0.45200000000000001</v>
      </c>
      <c r="E454" s="11">
        <f t="shared" si="14"/>
        <v>8606.7207999999991</v>
      </c>
      <c r="F454" s="11">
        <f t="shared" si="15"/>
        <v>6595.9748</v>
      </c>
    </row>
    <row r="455" spans="2:6" x14ac:dyDescent="0.25">
      <c r="B455" s="2">
        <v>0.45300000000000001</v>
      </c>
      <c r="E455" s="11">
        <f t="shared" si="14"/>
        <v>8603.1162000000004</v>
      </c>
      <c r="F455" s="11">
        <f t="shared" si="15"/>
        <v>6593.6097</v>
      </c>
    </row>
    <row r="456" spans="2:6" x14ac:dyDescent="0.25">
      <c r="B456" s="2">
        <v>0.45400000000000001</v>
      </c>
      <c r="E456" s="11">
        <f t="shared" si="14"/>
        <v>8599.5115999999998</v>
      </c>
      <c r="F456" s="11">
        <f t="shared" si="15"/>
        <v>6591.2446</v>
      </c>
    </row>
    <row r="457" spans="2:6" x14ac:dyDescent="0.25">
      <c r="B457" s="2">
        <v>0.45500000000000002</v>
      </c>
      <c r="E457" s="11">
        <f t="shared" si="14"/>
        <v>8595.9069999999992</v>
      </c>
      <c r="F457" s="11">
        <f t="shared" si="15"/>
        <v>6588.8795</v>
      </c>
    </row>
    <row r="458" spans="2:6" x14ac:dyDescent="0.25">
      <c r="B458" s="2">
        <v>0.45600000000000002</v>
      </c>
      <c r="E458" s="11">
        <f t="shared" si="14"/>
        <v>8592.3024000000005</v>
      </c>
      <c r="F458" s="11">
        <f t="shared" si="15"/>
        <v>6586.5144</v>
      </c>
    </row>
    <row r="459" spans="2:6" x14ac:dyDescent="0.25">
      <c r="B459" s="2">
        <v>0.45700000000000002</v>
      </c>
      <c r="E459" s="11">
        <f t="shared" si="14"/>
        <v>8588.6977999999999</v>
      </c>
      <c r="F459" s="11">
        <f t="shared" si="15"/>
        <v>6584.1493</v>
      </c>
    </row>
    <row r="460" spans="2:6" x14ac:dyDescent="0.25">
      <c r="B460" s="2">
        <v>0.45800000000000002</v>
      </c>
      <c r="E460" s="11">
        <f t="shared" si="14"/>
        <v>8585.0931999999993</v>
      </c>
      <c r="F460" s="11">
        <f t="shared" si="15"/>
        <v>6581.7842000000001</v>
      </c>
    </row>
    <row r="461" spans="2:6" x14ac:dyDescent="0.25">
      <c r="B461" s="2">
        <v>0.45900000000000002</v>
      </c>
      <c r="E461" s="11">
        <f t="shared" si="14"/>
        <v>8581.4886000000006</v>
      </c>
      <c r="F461" s="11">
        <f t="shared" si="15"/>
        <v>6579.4191000000001</v>
      </c>
    </row>
    <row r="462" spans="2:6" x14ac:dyDescent="0.25">
      <c r="B462" s="2">
        <v>0.46</v>
      </c>
      <c r="E462" s="11">
        <f t="shared" si="14"/>
        <v>8577.884</v>
      </c>
      <c r="F462" s="11">
        <f t="shared" si="15"/>
        <v>6577.0540000000001</v>
      </c>
    </row>
    <row r="463" spans="2:6" x14ac:dyDescent="0.25">
      <c r="B463" s="2">
        <v>0.46100000000000002</v>
      </c>
      <c r="E463" s="11">
        <f t="shared" si="14"/>
        <v>8574.2793999999994</v>
      </c>
      <c r="F463" s="11">
        <f t="shared" si="15"/>
        <v>6574.6889000000001</v>
      </c>
    </row>
    <row r="464" spans="2:6" x14ac:dyDescent="0.25">
      <c r="B464" s="2">
        <v>0.46200000000000002</v>
      </c>
      <c r="E464" s="11">
        <f t="shared" si="14"/>
        <v>8570.6748000000007</v>
      </c>
      <c r="F464" s="11">
        <f t="shared" si="15"/>
        <v>6572.3238000000001</v>
      </c>
    </row>
    <row r="465" spans="2:6" x14ac:dyDescent="0.25">
      <c r="B465" s="2">
        <v>0.46300000000000002</v>
      </c>
      <c r="E465" s="11">
        <f t="shared" si="14"/>
        <v>8567.0702000000001</v>
      </c>
      <c r="F465" s="11">
        <f t="shared" si="15"/>
        <v>6569.9587000000001</v>
      </c>
    </row>
    <row r="466" spans="2:6" x14ac:dyDescent="0.25">
      <c r="B466" s="2">
        <v>0.46400000000000002</v>
      </c>
      <c r="E466" s="11">
        <f t="shared" si="14"/>
        <v>8563.4655999999995</v>
      </c>
      <c r="F466" s="11">
        <f t="shared" si="15"/>
        <v>6567.5936000000002</v>
      </c>
    </row>
    <row r="467" spans="2:6" x14ac:dyDescent="0.25">
      <c r="B467" s="2">
        <v>0.46500000000000002</v>
      </c>
      <c r="E467" s="11">
        <f t="shared" si="14"/>
        <v>8559.8610000000008</v>
      </c>
      <c r="F467" s="11">
        <f t="shared" si="15"/>
        <v>6565.2285000000002</v>
      </c>
    </row>
    <row r="468" spans="2:6" x14ac:dyDescent="0.25">
      <c r="B468" s="2">
        <v>0.46600000000000003</v>
      </c>
      <c r="E468" s="11">
        <f t="shared" si="14"/>
        <v>8556.2564000000002</v>
      </c>
      <c r="F468" s="11">
        <f t="shared" si="15"/>
        <v>6562.8634000000002</v>
      </c>
    </row>
    <row r="469" spans="2:6" x14ac:dyDescent="0.25">
      <c r="B469" s="2">
        <v>0.46700000000000003</v>
      </c>
      <c r="E469" s="11">
        <f t="shared" si="14"/>
        <v>8552.6517999999996</v>
      </c>
      <c r="F469" s="11">
        <f t="shared" si="15"/>
        <v>6560.4983000000002</v>
      </c>
    </row>
    <row r="470" spans="2:6" x14ac:dyDescent="0.25">
      <c r="B470" s="2">
        <v>0.46800000000000003</v>
      </c>
      <c r="E470" s="11">
        <f t="shared" si="14"/>
        <v>8549.0472000000009</v>
      </c>
      <c r="F470" s="11">
        <f t="shared" si="15"/>
        <v>6558.1332000000002</v>
      </c>
    </row>
    <row r="471" spans="2:6" x14ac:dyDescent="0.25">
      <c r="B471" s="2">
        <v>0.46899999999999997</v>
      </c>
      <c r="E471" s="11">
        <f t="shared" si="14"/>
        <v>8545.4426000000003</v>
      </c>
      <c r="F471" s="11">
        <f t="shared" si="15"/>
        <v>6555.7681000000002</v>
      </c>
    </row>
    <row r="472" spans="2:6" x14ac:dyDescent="0.25">
      <c r="B472" s="2">
        <v>0.47</v>
      </c>
      <c r="E472" s="11">
        <f t="shared" si="14"/>
        <v>8541.8379999999997</v>
      </c>
      <c r="F472" s="11">
        <f t="shared" si="15"/>
        <v>6553.4030000000002</v>
      </c>
    </row>
    <row r="473" spans="2:6" x14ac:dyDescent="0.25">
      <c r="B473" s="2">
        <v>0.47099999999999997</v>
      </c>
      <c r="E473" s="11">
        <f t="shared" si="14"/>
        <v>8538.233400000001</v>
      </c>
      <c r="F473" s="11">
        <f t="shared" si="15"/>
        <v>6551.0379000000003</v>
      </c>
    </row>
    <row r="474" spans="2:6" x14ac:dyDescent="0.25">
      <c r="B474" s="2">
        <v>0.47199999999999998</v>
      </c>
      <c r="E474" s="11">
        <f t="shared" si="14"/>
        <v>8534.6288000000004</v>
      </c>
      <c r="F474" s="11">
        <f t="shared" si="15"/>
        <v>6548.6728000000003</v>
      </c>
    </row>
    <row r="475" spans="2:6" x14ac:dyDescent="0.25">
      <c r="B475" s="2">
        <v>0.47299999999999998</v>
      </c>
      <c r="E475" s="11">
        <f t="shared" si="14"/>
        <v>8531.0241999999998</v>
      </c>
      <c r="F475" s="11">
        <f t="shared" si="15"/>
        <v>6546.3077000000003</v>
      </c>
    </row>
    <row r="476" spans="2:6" x14ac:dyDescent="0.25">
      <c r="B476" s="2">
        <v>0.47399999999999998</v>
      </c>
      <c r="E476" s="11">
        <f t="shared" si="14"/>
        <v>8527.4196000000011</v>
      </c>
      <c r="F476" s="11">
        <f t="shared" si="15"/>
        <v>6543.9426000000003</v>
      </c>
    </row>
    <row r="477" spans="2:6" x14ac:dyDescent="0.25">
      <c r="B477" s="2">
        <v>0.47499999999999998</v>
      </c>
      <c r="E477" s="11">
        <f t="shared" si="14"/>
        <v>8523.8150000000005</v>
      </c>
      <c r="F477" s="11">
        <f t="shared" si="15"/>
        <v>6541.5775000000003</v>
      </c>
    </row>
    <row r="478" spans="2:6" x14ac:dyDescent="0.25">
      <c r="B478" s="2">
        <v>0.47599999999999998</v>
      </c>
      <c r="E478" s="11">
        <f t="shared" si="14"/>
        <v>8520.2103999999999</v>
      </c>
      <c r="F478" s="11">
        <f t="shared" si="15"/>
        <v>6539.2124000000003</v>
      </c>
    </row>
    <row r="479" spans="2:6" x14ac:dyDescent="0.25">
      <c r="B479" s="2">
        <v>0.47699999999999998</v>
      </c>
      <c r="E479" s="11">
        <f t="shared" si="14"/>
        <v>8516.6057999999994</v>
      </c>
      <c r="F479" s="11">
        <f t="shared" si="15"/>
        <v>6536.8473000000004</v>
      </c>
    </row>
    <row r="480" spans="2:6" x14ac:dyDescent="0.25">
      <c r="B480" s="2">
        <v>0.47799999999999998</v>
      </c>
      <c r="E480" s="11">
        <f t="shared" si="14"/>
        <v>8513.0012000000006</v>
      </c>
      <c r="F480" s="11">
        <f t="shared" si="15"/>
        <v>6534.4822000000004</v>
      </c>
    </row>
    <row r="481" spans="2:6" x14ac:dyDescent="0.25">
      <c r="B481" s="2">
        <v>0.47899999999999998</v>
      </c>
      <c r="E481" s="11">
        <f t="shared" si="14"/>
        <v>8509.3966</v>
      </c>
      <c r="F481" s="11">
        <f t="shared" si="15"/>
        <v>6532.1171000000004</v>
      </c>
    </row>
    <row r="482" spans="2:6" x14ac:dyDescent="0.25">
      <c r="B482" s="2">
        <v>0.48</v>
      </c>
      <c r="E482" s="11">
        <f t="shared" si="14"/>
        <v>8505.7919999999995</v>
      </c>
      <c r="F482" s="11">
        <f t="shared" si="15"/>
        <v>6529.7520000000004</v>
      </c>
    </row>
    <row r="483" spans="2:6" x14ac:dyDescent="0.25">
      <c r="B483" s="2">
        <v>0.48099999999999998</v>
      </c>
      <c r="E483" s="11">
        <f t="shared" si="14"/>
        <v>8502.1874000000007</v>
      </c>
      <c r="F483" s="11">
        <f t="shared" si="15"/>
        <v>6527.3869000000004</v>
      </c>
    </row>
    <row r="484" spans="2:6" x14ac:dyDescent="0.25">
      <c r="B484" s="2">
        <v>0.48199999999999998</v>
      </c>
      <c r="E484" s="11">
        <f t="shared" si="14"/>
        <v>8498.5828000000001</v>
      </c>
      <c r="F484" s="11">
        <f t="shared" si="15"/>
        <v>6525.0218000000004</v>
      </c>
    </row>
    <row r="485" spans="2:6" x14ac:dyDescent="0.25">
      <c r="B485" s="2">
        <v>0.48299999999999998</v>
      </c>
      <c r="E485" s="11">
        <f t="shared" si="14"/>
        <v>8494.9781999999996</v>
      </c>
      <c r="F485" s="11">
        <f t="shared" si="15"/>
        <v>6522.6566999999995</v>
      </c>
    </row>
    <row r="486" spans="2:6" x14ac:dyDescent="0.25">
      <c r="B486" s="2">
        <v>0.48399999999999999</v>
      </c>
      <c r="E486" s="11">
        <f t="shared" si="14"/>
        <v>8491.3736000000008</v>
      </c>
      <c r="F486" s="11">
        <f t="shared" si="15"/>
        <v>6520.2916000000005</v>
      </c>
    </row>
    <row r="487" spans="2:6" x14ac:dyDescent="0.25">
      <c r="B487" s="2">
        <v>0.48499999999999999</v>
      </c>
      <c r="E487" s="11">
        <f t="shared" si="14"/>
        <v>8487.7690000000002</v>
      </c>
      <c r="F487" s="11">
        <f t="shared" si="15"/>
        <v>6517.9264999999996</v>
      </c>
    </row>
    <row r="488" spans="2:6" x14ac:dyDescent="0.25">
      <c r="B488" s="2">
        <v>0.48599999999999999</v>
      </c>
      <c r="E488" s="11">
        <f t="shared" si="14"/>
        <v>8484.1643999999997</v>
      </c>
      <c r="F488" s="11">
        <f t="shared" si="15"/>
        <v>6515.5614000000005</v>
      </c>
    </row>
    <row r="489" spans="2:6" x14ac:dyDescent="0.25">
      <c r="B489" s="2">
        <v>0.48699999999999999</v>
      </c>
      <c r="E489" s="11">
        <f t="shared" si="14"/>
        <v>8480.5597999999991</v>
      </c>
      <c r="F489" s="11">
        <f t="shared" si="15"/>
        <v>6513.1962999999996</v>
      </c>
    </row>
    <row r="490" spans="2:6" x14ac:dyDescent="0.25">
      <c r="B490" s="2">
        <v>0.48799999999999999</v>
      </c>
      <c r="E490" s="11">
        <f t="shared" si="14"/>
        <v>8476.9552000000003</v>
      </c>
      <c r="F490" s="11">
        <f t="shared" si="15"/>
        <v>6510.8312000000005</v>
      </c>
    </row>
    <row r="491" spans="2:6" x14ac:dyDescent="0.25">
      <c r="B491" s="2">
        <v>0.48899999999999999</v>
      </c>
      <c r="E491" s="11">
        <f t="shared" si="14"/>
        <v>8473.3505999999998</v>
      </c>
      <c r="F491" s="11">
        <f t="shared" si="15"/>
        <v>6508.4660999999996</v>
      </c>
    </row>
    <row r="492" spans="2:6" x14ac:dyDescent="0.25">
      <c r="B492" s="2">
        <v>0.49</v>
      </c>
      <c r="E492" s="11">
        <f t="shared" si="14"/>
        <v>8469.7459999999992</v>
      </c>
      <c r="F492" s="11">
        <f t="shared" si="15"/>
        <v>6506.1010000000006</v>
      </c>
    </row>
    <row r="493" spans="2:6" x14ac:dyDescent="0.25">
      <c r="B493" s="2">
        <v>0.49099999999999999</v>
      </c>
      <c r="E493" s="11">
        <f t="shared" si="14"/>
        <v>8466.1414000000004</v>
      </c>
      <c r="F493" s="11">
        <f t="shared" si="15"/>
        <v>6503.7358999999997</v>
      </c>
    </row>
    <row r="494" spans="2:6" x14ac:dyDescent="0.25">
      <c r="B494" s="2">
        <v>0.49199999999999999</v>
      </c>
      <c r="E494" s="11">
        <f t="shared" si="14"/>
        <v>8462.5367999999999</v>
      </c>
      <c r="F494" s="11">
        <f t="shared" si="15"/>
        <v>6501.3708000000006</v>
      </c>
    </row>
    <row r="495" spans="2:6" x14ac:dyDescent="0.25">
      <c r="B495" s="2">
        <v>0.49299999999999999</v>
      </c>
      <c r="E495" s="11">
        <f t="shared" si="14"/>
        <v>8458.9321999999993</v>
      </c>
      <c r="F495" s="11">
        <f t="shared" si="15"/>
        <v>6499.0056999999997</v>
      </c>
    </row>
    <row r="496" spans="2:6" x14ac:dyDescent="0.25">
      <c r="B496" s="2">
        <v>0.49399999999999999</v>
      </c>
      <c r="E496" s="11">
        <f t="shared" si="14"/>
        <v>8455.3276000000005</v>
      </c>
      <c r="F496" s="11">
        <f t="shared" si="15"/>
        <v>6496.6405999999997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B1:J102"/>
  <sheetViews>
    <sheetView workbookViewId="0">
      <selection activeCell="A4" sqref="A4"/>
    </sheetView>
  </sheetViews>
  <sheetFormatPr defaultRowHeight="15" x14ac:dyDescent="0.25"/>
  <cols>
    <col min="2" max="2" width="11.7109375" customWidth="1"/>
    <col min="10" max="10" width="12" customWidth="1"/>
  </cols>
  <sheetData>
    <row r="1" spans="2:10" ht="105" x14ac:dyDescent="0.25">
      <c r="B1" s="2" t="s">
        <v>16</v>
      </c>
      <c r="C1" s="2" t="s">
        <v>3</v>
      </c>
      <c r="D1" s="2" t="s">
        <v>0</v>
      </c>
      <c r="E1" s="2" t="s">
        <v>1</v>
      </c>
      <c r="F1" s="2" t="s">
        <v>2</v>
      </c>
      <c r="G1" s="2" t="s">
        <v>9</v>
      </c>
      <c r="H1" s="2" t="s">
        <v>10</v>
      </c>
      <c r="I1" s="2" t="s">
        <v>11</v>
      </c>
      <c r="J1" s="2" t="s">
        <v>12</v>
      </c>
    </row>
    <row r="2" spans="2:10" x14ac:dyDescent="0.25">
      <c r="B2" s="2">
        <v>0</v>
      </c>
      <c r="C2" s="2"/>
      <c r="D2" s="24"/>
      <c r="E2" s="24">
        <v>0.5</v>
      </c>
      <c r="F2" s="24">
        <v>0.59</v>
      </c>
      <c r="G2" s="8">
        <v>0.44</v>
      </c>
      <c r="H2" s="8">
        <v>0.5</v>
      </c>
      <c r="I2" s="24">
        <v>0.51</v>
      </c>
      <c r="J2" s="24">
        <v>0.56000000000000005</v>
      </c>
    </row>
    <row r="3" spans="2:10" x14ac:dyDescent="0.25">
      <c r="B3">
        <v>0.01</v>
      </c>
      <c r="D3" s="24"/>
      <c r="E3" s="24">
        <v>0.5</v>
      </c>
      <c r="F3" s="24">
        <v>0.59</v>
      </c>
      <c r="G3" s="8"/>
      <c r="H3" s="8"/>
      <c r="I3" s="8">
        <f>I2-E2</f>
        <v>1.0000000000000009E-2</v>
      </c>
      <c r="J3" s="8">
        <f>J2-F2</f>
        <v>-2.9999999999999916E-2</v>
      </c>
    </row>
    <row r="4" spans="2:10" x14ac:dyDescent="0.25">
      <c r="B4">
        <v>0.02</v>
      </c>
      <c r="D4" s="24"/>
      <c r="E4" s="24">
        <v>0.5</v>
      </c>
      <c r="F4" s="24">
        <v>0.59</v>
      </c>
      <c r="G4" s="8"/>
      <c r="H4" s="8"/>
      <c r="I4" s="8"/>
      <c r="J4" s="8"/>
    </row>
    <row r="5" spans="2:10" x14ac:dyDescent="0.25">
      <c r="B5">
        <v>0.03</v>
      </c>
      <c r="D5" s="24"/>
      <c r="E5" s="24">
        <v>0.5</v>
      </c>
      <c r="F5" s="24">
        <v>0.59</v>
      </c>
      <c r="G5" s="8"/>
      <c r="H5" s="8"/>
      <c r="I5" s="8"/>
      <c r="J5" s="8"/>
    </row>
    <row r="6" spans="2:10" x14ac:dyDescent="0.25">
      <c r="B6">
        <v>0.04</v>
      </c>
      <c r="D6" s="24"/>
      <c r="E6" s="24">
        <v>0.5</v>
      </c>
      <c r="F6" s="24">
        <v>0.59</v>
      </c>
      <c r="G6" s="8"/>
      <c r="H6" s="8"/>
      <c r="I6" s="8"/>
      <c r="J6" s="8"/>
    </row>
    <row r="7" spans="2:10" x14ac:dyDescent="0.25">
      <c r="B7">
        <v>0.05</v>
      </c>
      <c r="D7" s="24"/>
      <c r="E7" s="24">
        <v>0.5</v>
      </c>
      <c r="F7" s="24">
        <v>0.59</v>
      </c>
      <c r="G7" s="8"/>
      <c r="H7" s="8"/>
      <c r="I7" s="8"/>
      <c r="J7" s="8"/>
    </row>
    <row r="8" spans="2:10" x14ac:dyDescent="0.25">
      <c r="B8">
        <v>0.06</v>
      </c>
      <c r="D8" s="24"/>
      <c r="E8" s="24">
        <v>0.5</v>
      </c>
      <c r="F8" s="24">
        <v>0.59</v>
      </c>
      <c r="G8" s="8"/>
      <c r="H8" s="8"/>
      <c r="I8" s="8"/>
      <c r="J8" s="8"/>
    </row>
    <row r="9" spans="2:10" x14ac:dyDescent="0.25">
      <c r="B9">
        <v>6.9999999999999993E-2</v>
      </c>
      <c r="D9" s="24"/>
      <c r="E9" s="24">
        <v>0.5</v>
      </c>
      <c r="F9" s="24">
        <v>0.59</v>
      </c>
      <c r="G9" s="8"/>
      <c r="H9" s="8"/>
      <c r="I9" s="8"/>
      <c r="J9" s="8"/>
    </row>
    <row r="10" spans="2:10" x14ac:dyDescent="0.25">
      <c r="B10">
        <v>0.08</v>
      </c>
      <c r="D10" s="24"/>
      <c r="E10" s="24">
        <v>0.5</v>
      </c>
      <c r="F10" s="24">
        <v>0.59</v>
      </c>
      <c r="G10" s="8"/>
      <c r="H10" s="8"/>
      <c r="I10" s="8"/>
      <c r="J10" s="8"/>
    </row>
    <row r="11" spans="2:10" x14ac:dyDescent="0.25">
      <c r="B11">
        <v>0.09</v>
      </c>
      <c r="D11" s="24"/>
      <c r="E11" s="24">
        <v>0.5</v>
      </c>
      <c r="F11" s="24">
        <v>0.59</v>
      </c>
      <c r="G11" s="8"/>
      <c r="H11" s="8"/>
      <c r="I11" s="8"/>
      <c r="J11" s="8"/>
    </row>
    <row r="12" spans="2:10" x14ac:dyDescent="0.25">
      <c r="B12" s="2">
        <v>0.1</v>
      </c>
      <c r="D12" s="24"/>
      <c r="E12" s="24">
        <v>0.5</v>
      </c>
      <c r="F12" s="24">
        <v>0.59</v>
      </c>
      <c r="G12" s="8"/>
      <c r="H12" s="8"/>
      <c r="I12" s="8"/>
      <c r="J12" s="8"/>
    </row>
    <row r="13" spans="2:10" x14ac:dyDescent="0.25">
      <c r="B13">
        <v>0.11</v>
      </c>
      <c r="D13" s="24"/>
      <c r="E13" s="24">
        <v>0.5</v>
      </c>
      <c r="F13" s="24">
        <v>0.59</v>
      </c>
      <c r="G13" s="8"/>
      <c r="H13" s="8"/>
      <c r="I13" s="8"/>
      <c r="J13" s="8"/>
    </row>
    <row r="14" spans="2:10" x14ac:dyDescent="0.25">
      <c r="B14">
        <v>0.12</v>
      </c>
      <c r="D14" s="24"/>
      <c r="E14" s="24">
        <v>0.5</v>
      </c>
      <c r="F14" s="24">
        <v>0.59</v>
      </c>
      <c r="G14" s="8"/>
      <c r="H14" s="8"/>
      <c r="I14" s="8"/>
      <c r="J14" s="8"/>
    </row>
    <row r="15" spans="2:10" x14ac:dyDescent="0.25">
      <c r="B15">
        <v>0.13</v>
      </c>
      <c r="D15" s="24"/>
      <c r="E15" s="24">
        <v>0.5</v>
      </c>
      <c r="F15" s="24">
        <v>0.59</v>
      </c>
      <c r="G15" s="8"/>
      <c r="H15" s="8"/>
      <c r="I15" s="8"/>
      <c r="J15" s="8"/>
    </row>
    <row r="16" spans="2:10" x14ac:dyDescent="0.25">
      <c r="B16">
        <v>0.14000000000000001</v>
      </c>
      <c r="D16" s="24"/>
      <c r="E16" s="24">
        <v>0.5</v>
      </c>
      <c r="F16" s="24">
        <v>0.59</v>
      </c>
      <c r="G16" s="8"/>
      <c r="H16" s="8"/>
      <c r="I16" s="8"/>
      <c r="J16" s="8"/>
    </row>
    <row r="17" spans="2:10" x14ac:dyDescent="0.25">
      <c r="B17">
        <v>0.15</v>
      </c>
      <c r="D17" s="24"/>
      <c r="E17" s="24">
        <v>0.5</v>
      </c>
      <c r="F17" s="24">
        <v>0.59</v>
      </c>
      <c r="G17" s="8"/>
      <c r="H17" s="8"/>
      <c r="I17" s="8"/>
      <c r="J17" s="8"/>
    </row>
    <row r="18" spans="2:10" x14ac:dyDescent="0.25">
      <c r="B18">
        <v>0.16</v>
      </c>
      <c r="D18" s="24"/>
      <c r="E18" s="24">
        <v>0.5</v>
      </c>
      <c r="F18" s="24">
        <v>0.59</v>
      </c>
      <c r="G18" s="8"/>
      <c r="H18" s="8"/>
      <c r="I18" s="8"/>
      <c r="J18" s="8"/>
    </row>
    <row r="19" spans="2:10" x14ac:dyDescent="0.25">
      <c r="B19">
        <v>0.17</v>
      </c>
      <c r="D19" s="24"/>
      <c r="E19" s="24">
        <v>0.5</v>
      </c>
      <c r="F19" s="24">
        <v>0.59</v>
      </c>
      <c r="G19" s="8"/>
      <c r="H19" s="8"/>
      <c r="I19" s="8"/>
      <c r="J19" s="8"/>
    </row>
    <row r="20" spans="2:10" x14ac:dyDescent="0.25">
      <c r="B20">
        <v>0.18</v>
      </c>
      <c r="D20" s="24"/>
      <c r="E20" s="24">
        <v>0.5</v>
      </c>
      <c r="F20" s="24">
        <v>0.59</v>
      </c>
      <c r="G20" s="8"/>
      <c r="H20" s="8"/>
      <c r="I20" s="8"/>
      <c r="J20" s="8"/>
    </row>
    <row r="21" spans="2:10" x14ac:dyDescent="0.25">
      <c r="B21">
        <v>0.19</v>
      </c>
      <c r="D21" s="24"/>
      <c r="E21" s="24">
        <v>0.5</v>
      </c>
      <c r="F21" s="24">
        <v>0.59</v>
      </c>
      <c r="G21" s="8"/>
      <c r="H21" s="8"/>
      <c r="I21" s="8"/>
      <c r="J21" s="8"/>
    </row>
    <row r="22" spans="2:10" x14ac:dyDescent="0.25">
      <c r="B22" s="2">
        <v>0.2</v>
      </c>
      <c r="D22" s="24"/>
      <c r="E22" s="24">
        <v>0.5</v>
      </c>
      <c r="F22" s="24">
        <v>0.59</v>
      </c>
      <c r="G22" s="8"/>
      <c r="H22" s="8"/>
      <c r="I22" s="8"/>
      <c r="J22" s="8"/>
    </row>
    <row r="23" spans="2:10" x14ac:dyDescent="0.25">
      <c r="B23">
        <v>0.21</v>
      </c>
      <c r="D23" s="24"/>
      <c r="E23" s="24">
        <v>0.5</v>
      </c>
      <c r="F23" s="24">
        <v>0.59</v>
      </c>
      <c r="G23" s="8"/>
      <c r="H23" s="8"/>
      <c r="I23" s="8"/>
      <c r="J23" s="8"/>
    </row>
    <row r="24" spans="2:10" x14ac:dyDescent="0.25">
      <c r="B24">
        <v>0.22</v>
      </c>
      <c r="D24" s="24"/>
      <c r="E24" s="24">
        <v>0.5</v>
      </c>
      <c r="F24" s="24">
        <v>0.59</v>
      </c>
      <c r="G24" s="8"/>
      <c r="H24" s="8"/>
      <c r="I24" s="8"/>
      <c r="J24" s="8"/>
    </row>
    <row r="25" spans="2:10" x14ac:dyDescent="0.25">
      <c r="B25">
        <v>0.23</v>
      </c>
      <c r="D25" s="24"/>
      <c r="E25" s="24">
        <v>0.5</v>
      </c>
      <c r="F25" s="24">
        <v>0.59</v>
      </c>
      <c r="G25" s="8"/>
      <c r="H25" s="8"/>
      <c r="I25" s="8"/>
      <c r="J25" s="8"/>
    </row>
    <row r="26" spans="2:10" x14ac:dyDescent="0.25">
      <c r="B26">
        <v>0.24</v>
      </c>
      <c r="D26" s="24"/>
      <c r="E26" s="24">
        <v>0.5</v>
      </c>
      <c r="F26" s="24">
        <v>0.59</v>
      </c>
      <c r="G26" s="8"/>
      <c r="H26" s="8"/>
      <c r="I26" s="8"/>
      <c r="J26" s="8"/>
    </row>
    <row r="27" spans="2:10" x14ac:dyDescent="0.25">
      <c r="B27">
        <v>0.25</v>
      </c>
      <c r="D27" s="24"/>
      <c r="E27" s="24">
        <v>0.5</v>
      </c>
      <c r="F27" s="24">
        <v>0.59</v>
      </c>
      <c r="G27" s="8"/>
      <c r="H27" s="8"/>
      <c r="I27" s="8"/>
      <c r="J27" s="8"/>
    </row>
    <row r="28" spans="2:10" x14ac:dyDescent="0.25">
      <c r="B28">
        <v>0.26</v>
      </c>
      <c r="D28" s="24"/>
      <c r="E28" s="24">
        <v>0.5</v>
      </c>
      <c r="F28" s="24">
        <v>0.59</v>
      </c>
      <c r="G28" s="8"/>
      <c r="H28" s="8"/>
      <c r="I28" s="8"/>
      <c r="J28" s="8"/>
    </row>
    <row r="29" spans="2:10" x14ac:dyDescent="0.25">
      <c r="B29">
        <v>0.27</v>
      </c>
      <c r="D29" s="24"/>
      <c r="E29" s="24">
        <v>0.5</v>
      </c>
      <c r="F29" s="24">
        <v>0.59</v>
      </c>
      <c r="G29" s="8"/>
      <c r="H29" s="8"/>
      <c r="I29" s="8"/>
      <c r="J29" s="8"/>
    </row>
    <row r="30" spans="2:10" x14ac:dyDescent="0.25">
      <c r="B30">
        <v>0.28000000000000003</v>
      </c>
      <c r="D30" s="24"/>
      <c r="E30" s="24">
        <v>0.5</v>
      </c>
      <c r="F30" s="24">
        <v>0.59</v>
      </c>
      <c r="G30" s="8"/>
      <c r="H30" s="8"/>
      <c r="I30" s="8"/>
      <c r="J30" s="8"/>
    </row>
    <row r="31" spans="2:10" x14ac:dyDescent="0.25">
      <c r="B31">
        <v>0.28999999999999998</v>
      </c>
      <c r="D31" s="24"/>
      <c r="E31" s="24">
        <v>0.5</v>
      </c>
      <c r="F31" s="24">
        <v>0.59</v>
      </c>
      <c r="G31" s="8"/>
      <c r="H31" s="8"/>
      <c r="I31" s="8"/>
      <c r="J31" s="8"/>
    </row>
    <row r="32" spans="2:10" x14ac:dyDescent="0.25">
      <c r="B32" s="2">
        <v>0.3</v>
      </c>
      <c r="D32" s="24"/>
      <c r="E32" s="24">
        <v>0.5</v>
      </c>
      <c r="F32" s="24">
        <v>0.59</v>
      </c>
      <c r="G32" s="8"/>
      <c r="H32" s="8"/>
      <c r="I32" s="8"/>
      <c r="J32" s="8"/>
    </row>
    <row r="33" spans="2:10" x14ac:dyDescent="0.25">
      <c r="B33">
        <v>0.31</v>
      </c>
      <c r="D33" s="24"/>
      <c r="E33" s="24">
        <v>0.5</v>
      </c>
      <c r="F33" s="24">
        <v>0.59</v>
      </c>
      <c r="G33" s="8"/>
      <c r="H33" s="8"/>
      <c r="I33" s="8"/>
      <c r="J33" s="8"/>
    </row>
    <row r="34" spans="2:10" x14ac:dyDescent="0.25">
      <c r="B34">
        <v>0.32</v>
      </c>
      <c r="D34" s="24"/>
      <c r="E34" s="24">
        <v>0.5</v>
      </c>
      <c r="F34" s="24">
        <v>0.59</v>
      </c>
      <c r="G34" s="8"/>
      <c r="H34" s="8"/>
      <c r="I34" s="8"/>
      <c r="J34" s="8"/>
    </row>
    <row r="35" spans="2:10" x14ac:dyDescent="0.25">
      <c r="B35">
        <v>0.33</v>
      </c>
      <c r="D35" s="24"/>
      <c r="E35" s="24">
        <v>0.5</v>
      </c>
      <c r="F35" s="24">
        <v>0.59</v>
      </c>
      <c r="G35" s="8"/>
      <c r="H35" s="8"/>
      <c r="I35" s="8"/>
      <c r="J35" s="8"/>
    </row>
    <row r="36" spans="2:10" x14ac:dyDescent="0.25">
      <c r="B36">
        <v>0.34</v>
      </c>
      <c r="D36" s="24"/>
      <c r="E36" s="24">
        <v>0.5</v>
      </c>
      <c r="F36" s="24">
        <v>0.59</v>
      </c>
      <c r="G36" s="8"/>
      <c r="H36" s="8"/>
      <c r="I36" s="8"/>
      <c r="J36" s="8"/>
    </row>
    <row r="37" spans="2:10" x14ac:dyDescent="0.25">
      <c r="B37">
        <v>0.35</v>
      </c>
      <c r="D37" s="24"/>
      <c r="E37" s="24">
        <v>0.5</v>
      </c>
      <c r="F37" s="24">
        <v>0.59</v>
      </c>
      <c r="G37" s="8"/>
      <c r="H37" s="8"/>
      <c r="I37" s="8"/>
      <c r="J37" s="8"/>
    </row>
    <row r="38" spans="2:10" x14ac:dyDescent="0.25">
      <c r="B38">
        <v>0.36</v>
      </c>
      <c r="D38" s="24"/>
      <c r="E38" s="24">
        <v>0.5</v>
      </c>
      <c r="F38" s="24">
        <v>0.59</v>
      </c>
      <c r="G38" s="8"/>
      <c r="H38" s="8"/>
      <c r="I38" s="8"/>
      <c r="J38" s="8"/>
    </row>
    <row r="39" spans="2:10" x14ac:dyDescent="0.25">
      <c r="B39">
        <v>0.37</v>
      </c>
      <c r="D39" s="24"/>
      <c r="E39" s="24">
        <v>0.5</v>
      </c>
      <c r="F39" s="24">
        <v>0.59</v>
      </c>
      <c r="G39" s="8"/>
      <c r="H39" s="8"/>
      <c r="I39" s="8"/>
      <c r="J39" s="8"/>
    </row>
    <row r="40" spans="2:10" x14ac:dyDescent="0.25">
      <c r="B40">
        <v>0.38</v>
      </c>
      <c r="D40" s="24"/>
      <c r="E40" s="24">
        <v>0.5</v>
      </c>
      <c r="F40" s="24">
        <v>0.59</v>
      </c>
      <c r="G40" s="8"/>
      <c r="H40" s="8"/>
      <c r="I40" s="8"/>
      <c r="J40" s="8"/>
    </row>
    <row r="41" spans="2:10" x14ac:dyDescent="0.25">
      <c r="B41">
        <v>0.39</v>
      </c>
      <c r="D41" s="24"/>
      <c r="E41" s="24">
        <v>0.5</v>
      </c>
      <c r="F41" s="24">
        <v>0.59</v>
      </c>
      <c r="G41" s="8"/>
      <c r="H41" s="8"/>
      <c r="I41" s="8"/>
      <c r="J41" s="8"/>
    </row>
    <row r="42" spans="2:10" x14ac:dyDescent="0.25">
      <c r="B42" s="2">
        <v>0.4</v>
      </c>
      <c r="D42" s="24"/>
      <c r="E42" s="24">
        <v>0.5</v>
      </c>
      <c r="F42" s="24">
        <v>0.59</v>
      </c>
      <c r="G42" s="8"/>
      <c r="H42" s="8"/>
      <c r="I42" s="8"/>
      <c r="J42" s="8"/>
    </row>
    <row r="43" spans="2:10" x14ac:dyDescent="0.25">
      <c r="B43">
        <v>0.41</v>
      </c>
      <c r="D43" s="24"/>
      <c r="E43" s="24">
        <v>0.5</v>
      </c>
      <c r="F43" s="24">
        <v>0.59</v>
      </c>
      <c r="G43" s="8"/>
      <c r="H43" s="8"/>
      <c r="I43" s="8"/>
      <c r="J43" s="8"/>
    </row>
    <row r="44" spans="2:10" x14ac:dyDescent="0.25">
      <c r="B44">
        <v>0.42</v>
      </c>
      <c r="D44" s="24"/>
      <c r="E44" s="24">
        <v>0.5</v>
      </c>
      <c r="F44" s="24">
        <v>0.59</v>
      </c>
      <c r="G44" s="8"/>
      <c r="H44" s="8"/>
      <c r="I44" s="8"/>
      <c r="J44" s="8"/>
    </row>
    <row r="45" spans="2:10" x14ac:dyDescent="0.25">
      <c r="B45">
        <v>0.43</v>
      </c>
      <c r="D45" s="24"/>
      <c r="E45" s="24">
        <v>0.5</v>
      </c>
      <c r="F45" s="24">
        <v>0.59</v>
      </c>
      <c r="G45" s="8"/>
      <c r="H45" s="8"/>
      <c r="I45" s="8"/>
      <c r="J45" s="8"/>
    </row>
    <row r="46" spans="2:10" x14ac:dyDescent="0.25">
      <c r="B46">
        <v>0.44</v>
      </c>
      <c r="D46" s="24"/>
      <c r="E46" s="24">
        <v>0.5</v>
      </c>
      <c r="F46" s="24">
        <v>0.59</v>
      </c>
      <c r="G46" s="8"/>
      <c r="H46" s="8"/>
      <c r="I46" s="8"/>
      <c r="J46" s="8"/>
    </row>
    <row r="47" spans="2:10" x14ac:dyDescent="0.25">
      <c r="B47">
        <v>0.45</v>
      </c>
      <c r="D47" s="24"/>
      <c r="E47" s="24">
        <v>0.5</v>
      </c>
      <c r="F47" s="24">
        <v>0.59</v>
      </c>
      <c r="G47" s="8"/>
      <c r="H47" s="8"/>
      <c r="I47" s="8"/>
      <c r="J47" s="8"/>
    </row>
    <row r="48" spans="2:10" x14ac:dyDescent="0.25">
      <c r="B48">
        <v>0.46</v>
      </c>
      <c r="D48" s="24"/>
      <c r="E48" s="24">
        <v>0.5</v>
      </c>
      <c r="F48" s="24">
        <v>0.59</v>
      </c>
      <c r="G48" s="8"/>
      <c r="H48" s="8"/>
      <c r="I48" s="8"/>
      <c r="J48" s="8"/>
    </row>
    <row r="49" spans="2:10" x14ac:dyDescent="0.25">
      <c r="B49">
        <v>0.47</v>
      </c>
      <c r="D49" s="24"/>
      <c r="E49" s="24">
        <v>0.5</v>
      </c>
      <c r="F49" s="24">
        <v>0.59</v>
      </c>
      <c r="G49" s="8"/>
      <c r="H49" s="8"/>
      <c r="I49" s="8"/>
      <c r="J49" s="8"/>
    </row>
    <row r="50" spans="2:10" x14ac:dyDescent="0.25">
      <c r="B50">
        <v>0.48</v>
      </c>
      <c r="D50" s="24"/>
      <c r="E50" s="24">
        <v>0.5</v>
      </c>
      <c r="F50" s="24">
        <v>0.59</v>
      </c>
      <c r="G50" s="8"/>
      <c r="H50" s="8"/>
      <c r="I50" s="8"/>
      <c r="J50" s="8"/>
    </row>
    <row r="51" spans="2:10" x14ac:dyDescent="0.25">
      <c r="B51">
        <v>0.49</v>
      </c>
      <c r="D51" s="24"/>
      <c r="E51" s="24">
        <v>0.5</v>
      </c>
      <c r="F51" s="24">
        <v>0.59</v>
      </c>
      <c r="G51" s="8"/>
      <c r="H51" s="8"/>
      <c r="I51" s="8"/>
      <c r="J51" s="8"/>
    </row>
    <row r="52" spans="2:10" x14ac:dyDescent="0.25">
      <c r="B52" s="2">
        <v>0.5</v>
      </c>
      <c r="D52" s="24"/>
      <c r="E52" s="24">
        <v>0.5</v>
      </c>
      <c r="F52" s="24">
        <v>0.59</v>
      </c>
      <c r="G52" s="8"/>
      <c r="H52" s="8"/>
      <c r="I52" s="8"/>
      <c r="J52" s="8"/>
    </row>
    <row r="53" spans="2:10" x14ac:dyDescent="0.25">
      <c r="B53">
        <v>0.51</v>
      </c>
      <c r="D53" s="24"/>
      <c r="E53" s="24">
        <v>0.5</v>
      </c>
      <c r="F53" s="24">
        <v>0.59</v>
      </c>
      <c r="G53" s="8"/>
      <c r="H53" s="8"/>
      <c r="I53" s="8"/>
      <c r="J53" s="8"/>
    </row>
    <row r="54" spans="2:10" x14ac:dyDescent="0.25">
      <c r="B54">
        <v>0.52</v>
      </c>
      <c r="D54" s="24"/>
      <c r="E54" s="24">
        <v>0.5</v>
      </c>
      <c r="F54" s="24">
        <v>0.59</v>
      </c>
      <c r="G54" s="8"/>
      <c r="H54" s="8"/>
      <c r="I54" s="8"/>
      <c r="J54" s="8"/>
    </row>
    <row r="55" spans="2:10" x14ac:dyDescent="0.25">
      <c r="B55">
        <v>0.53</v>
      </c>
      <c r="D55" s="24"/>
      <c r="E55" s="24">
        <v>0.5</v>
      </c>
      <c r="F55" s="24">
        <v>0.59</v>
      </c>
      <c r="G55" s="8"/>
      <c r="H55" s="8"/>
      <c r="I55" s="8"/>
      <c r="J55" s="8"/>
    </row>
    <row r="56" spans="2:10" x14ac:dyDescent="0.25">
      <c r="B56">
        <v>0.54</v>
      </c>
      <c r="D56" s="24"/>
      <c r="E56" s="24">
        <v>0.5</v>
      </c>
      <c r="F56" s="24">
        <v>0.59</v>
      </c>
      <c r="G56" s="8"/>
      <c r="H56" s="8"/>
      <c r="I56" s="8"/>
      <c r="J56" s="8"/>
    </row>
    <row r="57" spans="2:10" x14ac:dyDescent="0.25">
      <c r="B57">
        <v>0.55000000000000004</v>
      </c>
      <c r="D57" s="24"/>
      <c r="E57" s="24">
        <v>0.5</v>
      </c>
      <c r="F57" s="24">
        <v>0.59</v>
      </c>
      <c r="G57" s="8"/>
      <c r="H57" s="8"/>
      <c r="I57" s="8"/>
      <c r="J57" s="8"/>
    </row>
    <row r="58" spans="2:10" x14ac:dyDescent="0.25">
      <c r="B58">
        <v>0.56000000000000005</v>
      </c>
      <c r="D58" s="24"/>
      <c r="E58" s="24">
        <v>0.5</v>
      </c>
      <c r="F58" s="24">
        <v>0.59</v>
      </c>
      <c r="G58" s="8"/>
      <c r="H58" s="8"/>
      <c r="I58" s="8"/>
      <c r="J58" s="8"/>
    </row>
    <row r="59" spans="2:10" x14ac:dyDescent="0.25">
      <c r="B59">
        <v>0.56999999999999995</v>
      </c>
      <c r="D59" s="24"/>
      <c r="E59" s="24">
        <v>0.5</v>
      </c>
      <c r="F59" s="24">
        <v>0.59</v>
      </c>
      <c r="G59" s="8"/>
      <c r="H59" s="8"/>
      <c r="I59" s="8"/>
      <c r="J59" s="8"/>
    </row>
    <row r="60" spans="2:10" x14ac:dyDescent="0.25">
      <c r="B60">
        <v>0.57999999999999996</v>
      </c>
      <c r="D60" s="24"/>
      <c r="E60" s="24">
        <v>0.5</v>
      </c>
      <c r="F60" s="24">
        <v>0.59</v>
      </c>
      <c r="G60" s="8"/>
      <c r="H60" s="8"/>
      <c r="I60" s="8"/>
      <c r="J60" s="8"/>
    </row>
    <row r="61" spans="2:10" x14ac:dyDescent="0.25">
      <c r="B61">
        <v>0.59</v>
      </c>
      <c r="D61" s="24"/>
      <c r="E61" s="24">
        <v>0.5</v>
      </c>
      <c r="F61" s="24">
        <v>0.59</v>
      </c>
      <c r="G61" s="8"/>
      <c r="H61" s="8"/>
      <c r="I61" s="8"/>
      <c r="J61" s="8"/>
    </row>
    <row r="62" spans="2:10" x14ac:dyDescent="0.25">
      <c r="B62" s="2">
        <v>0.6</v>
      </c>
      <c r="D62" s="24"/>
      <c r="E62" s="24">
        <v>0.5</v>
      </c>
      <c r="F62" s="24">
        <v>0.59</v>
      </c>
      <c r="G62" s="8"/>
      <c r="H62" s="8"/>
      <c r="I62" s="8"/>
      <c r="J62" s="8"/>
    </row>
    <row r="63" spans="2:10" x14ac:dyDescent="0.25">
      <c r="B63">
        <v>0.61</v>
      </c>
      <c r="D63" s="24"/>
      <c r="E63" s="24">
        <v>0.5</v>
      </c>
      <c r="F63" s="24">
        <v>0.59</v>
      </c>
      <c r="G63" s="8"/>
      <c r="H63" s="8"/>
      <c r="I63" s="8"/>
      <c r="J63" s="8"/>
    </row>
    <row r="64" spans="2:10" x14ac:dyDescent="0.25">
      <c r="B64">
        <v>0.62</v>
      </c>
      <c r="D64" s="24"/>
      <c r="E64" s="24">
        <v>0.5</v>
      </c>
      <c r="F64" s="24">
        <v>0.59</v>
      </c>
      <c r="G64" s="8"/>
      <c r="H64" s="8"/>
      <c r="I64" s="8"/>
      <c r="J64" s="8"/>
    </row>
    <row r="65" spans="2:10" x14ac:dyDescent="0.25">
      <c r="B65">
        <v>0.63</v>
      </c>
      <c r="D65" s="24"/>
      <c r="E65" s="24">
        <v>0.5</v>
      </c>
      <c r="F65" s="24">
        <v>0.59</v>
      </c>
      <c r="G65" s="8"/>
      <c r="H65" s="8"/>
      <c r="I65" s="8"/>
      <c r="J65" s="8"/>
    </row>
    <row r="66" spans="2:10" x14ac:dyDescent="0.25">
      <c r="B66">
        <v>0.64</v>
      </c>
      <c r="D66" s="24"/>
      <c r="E66" s="24">
        <v>0.5</v>
      </c>
      <c r="F66" s="24">
        <v>0.59</v>
      </c>
      <c r="G66" s="8"/>
      <c r="H66" s="8"/>
      <c r="I66" s="8"/>
      <c r="J66" s="8"/>
    </row>
    <row r="67" spans="2:10" x14ac:dyDescent="0.25">
      <c r="B67">
        <v>0.65</v>
      </c>
      <c r="D67" s="24"/>
      <c r="E67" s="24">
        <v>0.5</v>
      </c>
      <c r="F67" s="24">
        <v>0.59</v>
      </c>
      <c r="G67" s="8"/>
      <c r="H67" s="8"/>
      <c r="I67" s="8"/>
      <c r="J67" s="8"/>
    </row>
    <row r="68" spans="2:10" x14ac:dyDescent="0.25">
      <c r="B68">
        <v>0.66</v>
      </c>
      <c r="D68" s="24"/>
      <c r="E68" s="24">
        <v>0.5</v>
      </c>
      <c r="F68" s="24">
        <v>0.59</v>
      </c>
      <c r="G68" s="8"/>
      <c r="H68" s="8"/>
      <c r="I68" s="8"/>
      <c r="J68" s="8"/>
    </row>
    <row r="69" spans="2:10" x14ac:dyDescent="0.25">
      <c r="B69">
        <v>0.67</v>
      </c>
      <c r="D69" s="24"/>
      <c r="E69" s="24">
        <v>0.5</v>
      </c>
      <c r="F69" s="24">
        <v>0.59</v>
      </c>
      <c r="G69" s="8"/>
      <c r="H69" s="8"/>
      <c r="I69" s="8"/>
      <c r="J69" s="8"/>
    </row>
    <row r="70" spans="2:10" x14ac:dyDescent="0.25">
      <c r="B70">
        <v>0.68</v>
      </c>
      <c r="D70" s="24"/>
      <c r="E70" s="24">
        <v>0.5</v>
      </c>
      <c r="F70" s="24">
        <v>0.59</v>
      </c>
      <c r="G70" s="8"/>
      <c r="H70" s="8"/>
      <c r="I70" s="8"/>
      <c r="J70" s="8"/>
    </row>
    <row r="71" spans="2:10" x14ac:dyDescent="0.25">
      <c r="B71">
        <v>0.69</v>
      </c>
      <c r="D71" s="24"/>
      <c r="E71" s="24">
        <v>0.5</v>
      </c>
      <c r="F71" s="24">
        <v>0.59</v>
      </c>
      <c r="G71" s="8"/>
      <c r="H71" s="8"/>
      <c r="I71" s="8"/>
      <c r="J71" s="8"/>
    </row>
    <row r="72" spans="2:10" x14ac:dyDescent="0.25">
      <c r="B72" s="2">
        <v>0.7</v>
      </c>
      <c r="D72" s="24"/>
      <c r="E72" s="24">
        <v>0.5</v>
      </c>
      <c r="F72" s="24">
        <v>0.59</v>
      </c>
      <c r="G72" s="8"/>
      <c r="H72" s="8"/>
      <c r="I72" s="8"/>
      <c r="J72" s="8"/>
    </row>
    <row r="73" spans="2:10" x14ac:dyDescent="0.25">
      <c r="B73">
        <v>0.71</v>
      </c>
      <c r="D73" s="24"/>
      <c r="E73" s="24">
        <v>0.5</v>
      </c>
      <c r="F73" s="24">
        <v>0.59</v>
      </c>
      <c r="G73" s="8"/>
      <c r="H73" s="8"/>
      <c r="I73" s="8"/>
      <c r="J73" s="8"/>
    </row>
    <row r="74" spans="2:10" x14ac:dyDescent="0.25">
      <c r="B74">
        <v>0.72</v>
      </c>
      <c r="D74" s="24"/>
      <c r="E74" s="24">
        <v>0.5</v>
      </c>
      <c r="F74" s="24">
        <v>0.59</v>
      </c>
      <c r="G74" s="8"/>
      <c r="H74" s="8"/>
      <c r="I74" s="8"/>
      <c r="J74" s="8"/>
    </row>
    <row r="75" spans="2:10" x14ac:dyDescent="0.25">
      <c r="B75">
        <v>0.73</v>
      </c>
      <c r="D75" s="24"/>
      <c r="E75" s="24">
        <v>0.5</v>
      </c>
      <c r="F75" s="24">
        <v>0.59</v>
      </c>
      <c r="G75" s="8"/>
      <c r="H75" s="8"/>
      <c r="I75" s="8"/>
      <c r="J75" s="8"/>
    </row>
    <row r="76" spans="2:10" x14ac:dyDescent="0.25">
      <c r="B76">
        <v>0.74</v>
      </c>
      <c r="D76" s="24"/>
      <c r="E76" s="24">
        <v>0.5</v>
      </c>
      <c r="F76" s="24">
        <v>0.59</v>
      </c>
      <c r="G76" s="8"/>
      <c r="H76" s="8"/>
      <c r="I76" s="8"/>
      <c r="J76" s="8"/>
    </row>
    <row r="77" spans="2:10" x14ac:dyDescent="0.25">
      <c r="B77">
        <v>0.75</v>
      </c>
      <c r="D77" s="24"/>
      <c r="E77" s="24">
        <v>0.5</v>
      </c>
      <c r="F77" s="24">
        <v>0.59</v>
      </c>
      <c r="G77" s="8"/>
      <c r="H77" s="8"/>
      <c r="I77" s="8"/>
      <c r="J77" s="8"/>
    </row>
    <row r="78" spans="2:10" x14ac:dyDescent="0.25">
      <c r="B78">
        <v>0.76</v>
      </c>
      <c r="D78" s="24"/>
      <c r="E78" s="24">
        <v>0.5</v>
      </c>
      <c r="F78" s="24">
        <v>0.59</v>
      </c>
      <c r="G78" s="8"/>
      <c r="H78" s="8"/>
      <c r="I78" s="8"/>
      <c r="J78" s="8"/>
    </row>
    <row r="79" spans="2:10" x14ac:dyDescent="0.25">
      <c r="B79">
        <v>0.77</v>
      </c>
      <c r="D79" s="24"/>
      <c r="E79" s="24">
        <v>0.5</v>
      </c>
      <c r="F79" s="24">
        <v>0.59</v>
      </c>
      <c r="G79" s="8"/>
      <c r="H79" s="8"/>
      <c r="I79" s="8"/>
      <c r="J79" s="8"/>
    </row>
    <row r="80" spans="2:10" x14ac:dyDescent="0.25">
      <c r="B80">
        <v>0.78</v>
      </c>
      <c r="D80" s="24"/>
      <c r="E80" s="24">
        <v>0.5</v>
      </c>
      <c r="F80" s="24">
        <v>0.59</v>
      </c>
      <c r="G80" s="8"/>
      <c r="H80" s="8"/>
      <c r="I80" s="8"/>
      <c r="J80" s="8"/>
    </row>
    <row r="81" spans="2:10" x14ac:dyDescent="0.25">
      <c r="B81">
        <v>0.79</v>
      </c>
      <c r="D81" s="24"/>
      <c r="E81" s="24">
        <v>0.5</v>
      </c>
      <c r="F81" s="24">
        <v>0.59</v>
      </c>
      <c r="G81" s="8"/>
      <c r="H81" s="8"/>
      <c r="I81" s="8"/>
      <c r="J81" s="8"/>
    </row>
    <row r="82" spans="2:10" x14ac:dyDescent="0.25">
      <c r="B82" s="2">
        <v>0.8</v>
      </c>
      <c r="D82" s="24"/>
      <c r="E82" s="24">
        <v>0.5</v>
      </c>
      <c r="F82" s="24">
        <v>0.59</v>
      </c>
      <c r="G82" s="8"/>
      <c r="H82" s="8"/>
      <c r="I82" s="8"/>
      <c r="J82" s="8"/>
    </row>
    <row r="83" spans="2:10" x14ac:dyDescent="0.25">
      <c r="B83">
        <v>0.81</v>
      </c>
      <c r="D83" s="24"/>
      <c r="E83" s="24">
        <v>0.5</v>
      </c>
      <c r="F83" s="24">
        <v>0.59</v>
      </c>
      <c r="G83" s="8"/>
      <c r="H83" s="8"/>
      <c r="I83" s="8"/>
      <c r="J83" s="8"/>
    </row>
    <row r="84" spans="2:10" x14ac:dyDescent="0.25">
      <c r="B84">
        <v>0.82</v>
      </c>
      <c r="D84" s="24"/>
      <c r="E84" s="24">
        <v>0.5</v>
      </c>
      <c r="F84" s="24">
        <v>0.59</v>
      </c>
      <c r="G84" s="8"/>
      <c r="H84" s="8"/>
      <c r="I84" s="8"/>
      <c r="J84" s="8"/>
    </row>
    <row r="85" spans="2:10" x14ac:dyDescent="0.25">
      <c r="B85">
        <v>0.83</v>
      </c>
      <c r="D85" s="24"/>
      <c r="E85" s="24">
        <v>0.5</v>
      </c>
      <c r="F85" s="24">
        <v>0.59</v>
      </c>
      <c r="G85" s="8"/>
      <c r="H85" s="8"/>
      <c r="I85" s="8"/>
      <c r="J85" s="8"/>
    </row>
    <row r="86" spans="2:10" x14ac:dyDescent="0.25">
      <c r="B86">
        <v>0.84</v>
      </c>
      <c r="D86" s="24"/>
      <c r="E86" s="24">
        <v>0.5</v>
      </c>
      <c r="F86" s="24">
        <v>0.59</v>
      </c>
      <c r="G86" s="8"/>
      <c r="H86" s="8"/>
      <c r="I86" s="8"/>
      <c r="J86" s="8"/>
    </row>
    <row r="87" spans="2:10" x14ac:dyDescent="0.25">
      <c r="B87">
        <v>0.85</v>
      </c>
      <c r="D87" s="24"/>
      <c r="E87" s="24">
        <v>0.5</v>
      </c>
      <c r="F87" s="24">
        <v>0.59</v>
      </c>
      <c r="G87" s="8"/>
      <c r="H87" s="8"/>
      <c r="I87" s="8"/>
      <c r="J87" s="8"/>
    </row>
    <row r="88" spans="2:10" x14ac:dyDescent="0.25">
      <c r="B88">
        <v>0.86</v>
      </c>
      <c r="D88" s="24"/>
      <c r="E88" s="24">
        <v>0.5</v>
      </c>
      <c r="F88" s="24">
        <v>0.59</v>
      </c>
      <c r="G88" s="8"/>
      <c r="H88" s="8"/>
      <c r="I88" s="8"/>
      <c r="J88" s="8"/>
    </row>
    <row r="89" spans="2:10" x14ac:dyDescent="0.25">
      <c r="B89">
        <v>0.87</v>
      </c>
      <c r="D89" s="24"/>
      <c r="E89" s="24">
        <v>0.5</v>
      </c>
      <c r="F89" s="24">
        <v>0.59</v>
      </c>
      <c r="G89" s="8"/>
      <c r="H89" s="8"/>
      <c r="I89" s="8"/>
      <c r="J89" s="8"/>
    </row>
    <row r="90" spans="2:10" x14ac:dyDescent="0.25">
      <c r="B90">
        <v>0.88</v>
      </c>
      <c r="D90" s="24"/>
      <c r="E90" s="24">
        <v>0.5</v>
      </c>
      <c r="F90" s="24">
        <v>0.59</v>
      </c>
      <c r="G90" s="8"/>
      <c r="H90" s="8"/>
      <c r="I90" s="8"/>
      <c r="J90" s="8"/>
    </row>
    <row r="91" spans="2:10" x14ac:dyDescent="0.25">
      <c r="B91">
        <v>0.89</v>
      </c>
      <c r="D91" s="24"/>
      <c r="E91" s="24">
        <v>0.5</v>
      </c>
      <c r="F91" s="24">
        <v>0.59</v>
      </c>
      <c r="G91" s="8"/>
      <c r="H91" s="8"/>
      <c r="I91" s="8"/>
      <c r="J91" s="8"/>
    </row>
    <row r="92" spans="2:10" x14ac:dyDescent="0.25">
      <c r="B92" s="2">
        <v>0.9</v>
      </c>
      <c r="D92" s="24"/>
      <c r="E92" s="24">
        <v>0.5</v>
      </c>
      <c r="F92" s="24">
        <v>0.59</v>
      </c>
      <c r="G92" s="8"/>
      <c r="H92" s="8"/>
      <c r="I92" s="8"/>
      <c r="J92" s="8"/>
    </row>
    <row r="93" spans="2:10" x14ac:dyDescent="0.25">
      <c r="B93">
        <v>0.91</v>
      </c>
      <c r="D93" s="24"/>
      <c r="E93" s="24">
        <v>0.5</v>
      </c>
      <c r="F93" s="24">
        <v>0.59</v>
      </c>
      <c r="G93" s="8"/>
      <c r="H93" s="8"/>
      <c r="I93" s="8"/>
      <c r="J93" s="8"/>
    </row>
    <row r="94" spans="2:10" x14ac:dyDescent="0.25">
      <c r="B94">
        <v>0.92</v>
      </c>
      <c r="D94" s="24"/>
      <c r="E94" s="24">
        <v>0.5</v>
      </c>
      <c r="F94" s="24">
        <v>0.59</v>
      </c>
      <c r="G94" s="8"/>
      <c r="H94" s="8"/>
      <c r="I94" s="8"/>
      <c r="J94" s="8"/>
    </row>
    <row r="95" spans="2:10" x14ac:dyDescent="0.25">
      <c r="B95">
        <v>0.93</v>
      </c>
      <c r="D95" s="24"/>
      <c r="E95" s="24">
        <v>0.5</v>
      </c>
      <c r="F95" s="24">
        <v>0.59</v>
      </c>
      <c r="G95" s="8"/>
      <c r="H95" s="8"/>
      <c r="I95" s="8"/>
      <c r="J95" s="8"/>
    </row>
    <row r="96" spans="2:10" x14ac:dyDescent="0.25">
      <c r="B96">
        <v>0.94</v>
      </c>
      <c r="D96" s="24"/>
      <c r="E96" s="24">
        <v>0.5</v>
      </c>
      <c r="F96" s="24">
        <v>0.59</v>
      </c>
      <c r="G96" s="8"/>
      <c r="H96" s="8"/>
      <c r="I96" s="8"/>
      <c r="J96" s="8"/>
    </row>
    <row r="97" spans="2:10" x14ac:dyDescent="0.25">
      <c r="B97">
        <v>0.95</v>
      </c>
      <c r="D97" s="24"/>
      <c r="E97" s="24">
        <v>0.5</v>
      </c>
      <c r="F97" s="24">
        <v>0.59</v>
      </c>
      <c r="G97" s="8"/>
      <c r="H97" s="8"/>
      <c r="I97" s="8"/>
      <c r="J97" s="8"/>
    </row>
    <row r="98" spans="2:10" x14ac:dyDescent="0.25">
      <c r="B98">
        <v>0.96</v>
      </c>
      <c r="D98" s="24"/>
      <c r="E98" s="24">
        <v>0.5</v>
      </c>
      <c r="F98" s="24">
        <v>0.59</v>
      </c>
      <c r="G98" s="8"/>
      <c r="H98" s="8"/>
      <c r="I98" s="8"/>
      <c r="J98" s="8"/>
    </row>
    <row r="99" spans="2:10" x14ac:dyDescent="0.25">
      <c r="B99">
        <v>0.97</v>
      </c>
      <c r="D99" s="24"/>
      <c r="E99" s="24">
        <v>0.5</v>
      </c>
      <c r="F99" s="24">
        <v>0.59</v>
      </c>
      <c r="G99" s="8"/>
      <c r="H99" s="8"/>
      <c r="I99" s="8"/>
      <c r="J99" s="8"/>
    </row>
    <row r="100" spans="2:10" x14ac:dyDescent="0.25">
      <c r="B100">
        <v>0.98</v>
      </c>
      <c r="D100" s="24"/>
      <c r="E100" s="24">
        <v>0.5</v>
      </c>
      <c r="F100" s="24">
        <v>0.59</v>
      </c>
      <c r="G100" s="8"/>
      <c r="H100" s="8"/>
      <c r="I100" s="8"/>
      <c r="J100" s="8"/>
    </row>
    <row r="101" spans="2:10" x14ac:dyDescent="0.25">
      <c r="B101">
        <v>0.99</v>
      </c>
      <c r="D101" s="24"/>
      <c r="E101" s="24">
        <v>0.5</v>
      </c>
      <c r="F101" s="24">
        <v>0.59</v>
      </c>
      <c r="G101" s="8"/>
      <c r="H101" s="8"/>
      <c r="I101" s="8"/>
      <c r="J101" s="8"/>
    </row>
    <row r="102" spans="2:10" x14ac:dyDescent="0.25">
      <c r="B102" s="2">
        <v>1</v>
      </c>
      <c r="D102" s="24"/>
      <c r="E102" s="24">
        <v>0.5</v>
      </c>
      <c r="F102" s="24">
        <v>0.59</v>
      </c>
      <c r="G102" s="8"/>
      <c r="H102" s="8"/>
      <c r="I102" s="8"/>
      <c r="J102" s="8"/>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1:O48"/>
  <sheetViews>
    <sheetView workbookViewId="0">
      <selection sqref="A1:N1"/>
    </sheetView>
  </sheetViews>
  <sheetFormatPr defaultRowHeight="15" x14ac:dyDescent="0.25"/>
  <cols>
    <col min="1" max="1" width="1.85546875" customWidth="1"/>
    <col min="2" max="2" width="29.42578125" customWidth="1"/>
    <col min="3" max="3" width="15.7109375" customWidth="1"/>
    <col min="4" max="4" width="19.140625" customWidth="1"/>
    <col min="5" max="5" width="20.42578125" customWidth="1"/>
    <col min="6" max="7" width="22.42578125" customWidth="1"/>
    <col min="8" max="8" width="10.5703125" bestFit="1" customWidth="1"/>
    <col min="9" max="9" width="34" customWidth="1"/>
    <col min="10" max="10" width="29.7109375" customWidth="1"/>
    <col min="11" max="11" width="13.7109375" customWidth="1"/>
    <col min="12" max="13" width="14.85546875" customWidth="1"/>
    <col min="14" max="14" width="20.5703125" customWidth="1"/>
  </cols>
  <sheetData>
    <row r="1" spans="2:14" x14ac:dyDescent="0.25">
      <c r="J1" s="26">
        <f>ROUND(SUM(K10:K12),0)</f>
        <v>1751203</v>
      </c>
    </row>
    <row r="2" spans="2:14" x14ac:dyDescent="0.25">
      <c r="C2">
        <f>percentage_thromb/Infarction</f>
        <v>0.13133640552995393</v>
      </c>
      <c r="D2">
        <f>VLOOKUP(ROUND(percentage_thromb*Admitted/Infarction,3),'NHS cost'!B41:F535,4)</f>
        <v>12451.862999999999</v>
      </c>
      <c r="E2">
        <f>ROUND(0.2/Infarction,3)</f>
        <v>0.23</v>
      </c>
      <c r="F2" s="2">
        <f>VLOOKUP(0.2*Admitted/Infarction,'NHS cost'!B41:F535,4)</f>
        <v>12451.862999999999</v>
      </c>
      <c r="G2" s="2"/>
    </row>
    <row r="3" spans="2:14" x14ac:dyDescent="0.25">
      <c r="J3">
        <f>current_thrombolysed*percentage_thromb/Infarction</f>
        <v>0</v>
      </c>
    </row>
    <row r="4" spans="2:14" x14ac:dyDescent="0.25">
      <c r="J4">
        <f>percentage_thromb/Infarction</f>
        <v>0.13133640552995393</v>
      </c>
    </row>
    <row r="5" spans="2:14" x14ac:dyDescent="0.25">
      <c r="J5">
        <f>ROUND(percentage_thromb/Infarction,3)</f>
        <v>0.13100000000000001</v>
      </c>
    </row>
    <row r="6" spans="2:14" x14ac:dyDescent="0.25">
      <c r="J6" s="1"/>
      <c r="K6" s="1"/>
    </row>
    <row r="7" spans="2:14" x14ac:dyDescent="0.25">
      <c r="J7" s="1"/>
      <c r="K7" s="1"/>
    </row>
    <row r="8" spans="2:14" x14ac:dyDescent="0.25">
      <c r="B8" s="44" t="s">
        <v>13</v>
      </c>
      <c r="C8" s="44"/>
      <c r="D8" s="44"/>
      <c r="E8" s="44"/>
      <c r="I8" s="44" t="s">
        <v>14</v>
      </c>
      <c r="J8" s="44"/>
      <c r="K8" s="44"/>
      <c r="L8" s="44"/>
      <c r="M8" s="28"/>
    </row>
    <row r="9" spans="2:14" ht="45" x14ac:dyDescent="0.25">
      <c r="B9" s="5"/>
      <c r="C9" s="34" t="s">
        <v>4</v>
      </c>
      <c r="D9" s="34" t="s">
        <v>51</v>
      </c>
      <c r="E9" s="34" t="s">
        <v>8</v>
      </c>
      <c r="F9" s="34" t="s">
        <v>47</v>
      </c>
      <c r="G9" s="34" t="s">
        <v>53</v>
      </c>
      <c r="I9" s="7"/>
      <c r="J9" s="35" t="s">
        <v>4</v>
      </c>
      <c r="K9" s="35" t="s">
        <v>51</v>
      </c>
      <c r="L9" s="35" t="s">
        <v>8</v>
      </c>
      <c r="M9" s="35" t="s">
        <v>47</v>
      </c>
      <c r="N9" s="35" t="s">
        <v>31</v>
      </c>
    </row>
    <row r="10" spans="2:14" x14ac:dyDescent="0.25">
      <c r="B10" s="5" t="s">
        <v>34</v>
      </c>
      <c r="C10" s="12">
        <f>(VLOOKUP(ROUND(percentage_thromb/Infarction,3),'NHS cost'!B41:F535,4)*Proportion_of_females+(1-Proportion_of_females)*VLOOKUP(ROUND(percentage_thromb/Infarction,3),'NHS cost'!B41:F535,5))*admitted_number*Infarction</f>
        <v>2282248.5655625602</v>
      </c>
      <c r="D10" s="12">
        <f>(VLOOKUP(ROUND(0.16/Infarction,3),'NHS cost'!B41:F535,4)*Proportion_of_females+(1-Proportion_of_females)*VLOOKUP(ROUND(0.16*percentage_thromb/Infarction,3),'NHS cost'!B41:F535,5))*Infarction*admitted_number</f>
        <v>2295301.4441873604</v>
      </c>
      <c r="E10" s="12">
        <f>D10-C10</f>
        <v>13052.878624800127</v>
      </c>
      <c r="F10">
        <f>(VLOOKUP(ROUND(0.2/Infarction,3),'NHS cost'!B41:F535,4)*Proportion_of_females+(1-Proportion_of_females)*VLOOKUP(ROUND(0.2/Infarction,3),'NHS cost'!B41:F535,5))*Infarction*admitted_number</f>
        <v>2227279.7831647997</v>
      </c>
      <c r="G10">
        <f>(VLOOKUP(ROUND(Aspirational_percentage_thrombolysed/Infarction,3),'NHS cost'!B41:F535,4)*Proportion_of_females+(1-Proportion_of_females)*VLOOKUP(ROUND(Aspirational_percentage_thrombolysed/Infarction,3),'NHS cost'!B41:F535,5))*Infarction*admitted_number</f>
        <v>2322781.1020780797</v>
      </c>
      <c r="I10" s="7" t="s">
        <v>34</v>
      </c>
      <c r="J10" s="16">
        <f>(VLOOKUP(ROUND(percentage_thromb/Infarction,3),'Social care cost'!B2:K496,4)*Proportion_of_females+(1-Proportion_of_females)*VLOOKUP(ROUND(percentage_thromb/Infarction,3),'Social care cost'!B2:K496,5))*Infarction*admitted_number</f>
        <v>1483417.7109191997</v>
      </c>
      <c r="K10" s="16">
        <f>(VLOOKUP(ROUND(0.16/Infarction,3),'Social care cost'!B2:K496,4)*Proportion_of_females+(1-Proportion_of_females)*VLOOKUP(ROUND(0.16/Infarction,3),'Social care cost'!B2:K496,5))*Infarction*admitted_number</f>
        <v>1456023.1293888001</v>
      </c>
      <c r="L10" s="16">
        <f>K10-J10</f>
        <v>-27394.581530399621</v>
      </c>
      <c r="M10" s="16">
        <f>(VLOOKUP(ROUND(0.2/Infarction,3),'Social care cost'!B2:K496,4)*Proportion_of_females+(1-Proportion_of_females)*VLOOKUP(ROUND(0.2/Infarction,3),'Social care cost'!B2:K496,5))*Infarction*admitted_number</f>
        <v>1432246.7001360001</v>
      </c>
      <c r="N10" s="7">
        <f>(VLOOKUP(ROUND(Aspirational_percentage_thrombolysed/Infarction,3),'Social care cost'!B2:K496,4)*Proportion_of_females+(1-Proportion_of_females)*VLOOKUP(ROUND(Aspirational_percentage_thrombolysed/Infarction,3),'Social care cost'!B2:K496,5))*Infarction*admitted_number</f>
        <v>1521149.8703856</v>
      </c>
    </row>
    <row r="11" spans="2:14" x14ac:dyDescent="0.25">
      <c r="B11" s="5"/>
      <c r="C11" s="12"/>
      <c r="D11" s="12"/>
      <c r="E11" s="12">
        <f t="shared" ref="E11:E13" si="0">D11-C11</f>
        <v>0</v>
      </c>
      <c r="I11" s="7"/>
      <c r="J11" s="16"/>
      <c r="K11" s="16"/>
      <c r="L11" s="16"/>
      <c r="M11" s="16"/>
      <c r="N11" s="7"/>
    </row>
    <row r="12" spans="2:14" x14ac:dyDescent="0.25">
      <c r="B12" s="5" t="s">
        <v>6</v>
      </c>
      <c r="C12" s="12">
        <f>(Proportion_of_females*'NHS cost'!G41+(1-Proportion_of_females)*'NHS cost'!H41)*(1-Infarction)*admitted_number</f>
        <v>390265.07520000002</v>
      </c>
      <c r="D12" s="12">
        <f>C12</f>
        <v>390265.07520000002</v>
      </c>
      <c r="E12" s="12">
        <f t="shared" si="0"/>
        <v>0</v>
      </c>
      <c r="F12" s="26">
        <f>C12</f>
        <v>390265.07520000002</v>
      </c>
      <c r="G12" s="26">
        <f>C12</f>
        <v>390265.07520000002</v>
      </c>
      <c r="I12" s="7" t="s">
        <v>6</v>
      </c>
      <c r="J12" s="16">
        <f>(Proportion_of_females*'Social care cost'!G2+(1-Proportion_of_females)*'Social care cost'!H2)*(1-Infarction)*admitted_number</f>
        <v>295180.24800000002</v>
      </c>
      <c r="K12" s="16">
        <f>J12</f>
        <v>295180.24800000002</v>
      </c>
      <c r="L12" s="16">
        <f t="shared" ref="L12:L13" si="1">K12-J12</f>
        <v>0</v>
      </c>
      <c r="M12" s="16">
        <f>J12</f>
        <v>295180.24800000002</v>
      </c>
      <c r="N12" s="7">
        <f>(Proportion_of_females*'Social care cost'!G2+(1-Proportion_of_females)*'Social care cost'!H2)*(1-Infarction)*admitted_number</f>
        <v>295180.24800000002</v>
      </c>
    </row>
    <row r="13" spans="2:14" x14ac:dyDescent="0.25">
      <c r="B13" s="5" t="s">
        <v>7</v>
      </c>
      <c r="C13" s="37">
        <f>ROUND(SUM(C10:C12),-2)</f>
        <v>2672500</v>
      </c>
      <c r="D13" s="37">
        <f>ROUND(SUM(D10:D12),-2)</f>
        <v>2685600</v>
      </c>
      <c r="E13" s="12">
        <f t="shared" si="0"/>
        <v>13100</v>
      </c>
      <c r="F13" s="21">
        <f>ROUND(SUM(F10:F12),-2)</f>
        <v>2617500</v>
      </c>
      <c r="G13" s="21">
        <f>ROUND(SUM(G10:G12),-2)</f>
        <v>2713000</v>
      </c>
      <c r="I13" s="7" t="s">
        <v>7</v>
      </c>
      <c r="J13" s="20">
        <f>ROUND(SUM(J10:J12),-2)</f>
        <v>1778600</v>
      </c>
      <c r="K13" s="20">
        <f>ROUND(SUM(K10:K12),-2)</f>
        <v>1751200</v>
      </c>
      <c r="L13" s="20">
        <f t="shared" si="1"/>
        <v>-27400</v>
      </c>
      <c r="M13" s="20">
        <f>ROUND(SUM(M10:M12),-2)</f>
        <v>1727400</v>
      </c>
      <c r="N13" s="38">
        <f>ROUND(SUM(N10:N12),-2)</f>
        <v>1816300</v>
      </c>
    </row>
    <row r="14" spans="2:14" x14ac:dyDescent="0.25">
      <c r="C14" s="26">
        <f>SUM(C10:C12)</f>
        <v>2672513.6407625601</v>
      </c>
      <c r="E14" s="14"/>
      <c r="F14" s="27">
        <f>C13-F13</f>
        <v>55000</v>
      </c>
      <c r="G14" s="27">
        <f>C13-G13</f>
        <v>-40500</v>
      </c>
      <c r="J14" s="26">
        <f>ROUND(SUM(J10:J12),0)</f>
        <v>1778598</v>
      </c>
      <c r="K14" s="26">
        <f>ROUND(SUM(K10:K12),0)</f>
        <v>1751203</v>
      </c>
      <c r="L14" s="30"/>
      <c r="M14" s="31">
        <f>J13-M13</f>
        <v>51200</v>
      </c>
      <c r="N14" s="39">
        <f>J13-N13</f>
        <v>-37700</v>
      </c>
    </row>
    <row r="15" spans="2:14" x14ac:dyDescent="0.25">
      <c r="H15" s="19"/>
    </row>
    <row r="16" spans="2:14" x14ac:dyDescent="0.25">
      <c r="B16" s="44" t="s">
        <v>13</v>
      </c>
      <c r="C16" s="44"/>
      <c r="D16" s="44"/>
      <c r="E16" s="44"/>
      <c r="I16" s="44"/>
      <c r="J16" s="44"/>
      <c r="K16" s="44"/>
      <c r="L16" s="44"/>
      <c r="M16" s="28"/>
    </row>
    <row r="17" spans="2:15" x14ac:dyDescent="0.25">
      <c r="B17" s="9"/>
      <c r="C17" s="9" t="s">
        <v>4</v>
      </c>
      <c r="D17" s="9" t="s">
        <v>5</v>
      </c>
      <c r="E17" s="9" t="s">
        <v>8</v>
      </c>
      <c r="I17" s="17"/>
      <c r="J17" s="17"/>
      <c r="K17" s="17"/>
      <c r="L17" s="17"/>
      <c r="M17" s="17"/>
    </row>
    <row r="18" spans="2:15" ht="30" x14ac:dyDescent="0.25">
      <c r="B18" s="15" t="s">
        <v>46</v>
      </c>
      <c r="C18" s="18" t="e">
        <f>(Proportion_of_females*#REF!+(1-Proportion_of_females)*#REF!)*Costs!I23*current_ESD</f>
        <v>#REF!</v>
      </c>
      <c r="D18" s="9" t="e">
        <f>(Proportion_of_females*#REF!+(1-Proportion_of_females)*#REF!)*Costs!I23*aspirational_ESD</f>
        <v>#REF!</v>
      </c>
      <c r="E18" s="10" t="e">
        <f>C18-D18</f>
        <v>#REF!</v>
      </c>
      <c r="I18" s="17"/>
      <c r="J18" s="23"/>
      <c r="K18" s="23"/>
      <c r="L18" s="23"/>
      <c r="M18" s="23"/>
    </row>
    <row r="19" spans="2:15" x14ac:dyDescent="0.25">
      <c r="B19" s="9" t="s">
        <v>17</v>
      </c>
      <c r="C19" s="18" t="e">
        <f>(Proportion_of_females*#REF!+(1-Proportion_of_females)*#REF!)*discharged*(1-current_ESD)</f>
        <v>#REF!</v>
      </c>
      <c r="D19" s="18" t="e">
        <f>(Proportion_of_females*#REF!+(1-Proportion_of_females)*#REF!)*discharged*(1-aspirational_ESD)</f>
        <v>#REF!</v>
      </c>
      <c r="E19" s="18" t="e">
        <f>C19-D19</f>
        <v>#REF!</v>
      </c>
      <c r="I19" s="17"/>
      <c r="J19" s="23"/>
      <c r="K19" s="23"/>
      <c r="L19" s="23"/>
      <c r="M19" s="23"/>
    </row>
    <row r="20" spans="2:15" x14ac:dyDescent="0.25">
      <c r="B20" s="9" t="s">
        <v>18</v>
      </c>
      <c r="C20" s="18" t="e">
        <f>SUM(C18:C19)</f>
        <v>#REF!</v>
      </c>
      <c r="D20" s="18" t="e">
        <f t="shared" ref="D20:E20" si="2">SUM(D18:D19)</f>
        <v>#REF!</v>
      </c>
      <c r="E20" s="18" t="e">
        <f t="shared" si="2"/>
        <v>#REF!</v>
      </c>
      <c r="I20" s="17"/>
      <c r="J20" s="23"/>
      <c r="K20" s="23"/>
      <c r="L20" s="23"/>
      <c r="M20" s="23"/>
    </row>
    <row r="21" spans="2:15" x14ac:dyDescent="0.25">
      <c r="I21" s="17"/>
      <c r="J21" s="22"/>
      <c r="K21" s="22"/>
      <c r="L21" s="23"/>
      <c r="M21" s="23"/>
    </row>
    <row r="22" spans="2:15" x14ac:dyDescent="0.25">
      <c r="C22">
        <f>VLOOKUP(ROUND(current_thrombolysed*percentage_thromb/Infarction,2),'NHS cost'!B41:F148,4)</f>
        <v>14149</v>
      </c>
      <c r="J22" s="32"/>
      <c r="L22" s="33"/>
    </row>
    <row r="24" spans="2:15" x14ac:dyDescent="0.25">
      <c r="C24">
        <f>ROUND(current_thrombolysed*percentage_thromb/Infarction,3)</f>
        <v>0</v>
      </c>
      <c r="D24">
        <f>(VLOOKUP(ROUND(current_thrombolysed*percentage_thromb/Infarction,3),'NHS cost'!B41:F535,4))</f>
        <v>14149</v>
      </c>
      <c r="E24">
        <f>percentage_thromb/Infarction</f>
        <v>0.13133640552995393</v>
      </c>
    </row>
    <row r="26" spans="2:15" x14ac:dyDescent="0.25">
      <c r="I26" t="s">
        <v>54</v>
      </c>
      <c r="J26">
        <f>ROUND(Admitted*percentage_thromb,0)</f>
        <v>23</v>
      </c>
    </row>
    <row r="27" spans="2:15" x14ac:dyDescent="0.25">
      <c r="I27" s="2" t="s">
        <v>45</v>
      </c>
    </row>
    <row r="28" spans="2:15" x14ac:dyDescent="0.25">
      <c r="F28">
        <f>percentage_thromb</f>
        <v>0.114</v>
      </c>
      <c r="I28" s="2" t="s">
        <v>55</v>
      </c>
      <c r="J28">
        <f>ROUND(0.2*admitted_number,0)</f>
        <v>40</v>
      </c>
      <c r="N28" s="34" t="s">
        <v>4</v>
      </c>
      <c r="O28" t="s">
        <v>13</v>
      </c>
    </row>
    <row r="29" spans="2:15" ht="30" x14ac:dyDescent="0.25">
      <c r="I29" s="2" t="s">
        <v>56</v>
      </c>
      <c r="J29">
        <f>ROUND(0.16*admitted_number,0)</f>
        <v>32</v>
      </c>
      <c r="N29" s="35" t="s">
        <v>47</v>
      </c>
      <c r="O29" t="s">
        <v>14</v>
      </c>
    </row>
    <row r="30" spans="2:15" ht="30" x14ac:dyDescent="0.25">
      <c r="I30" s="2" t="s">
        <v>57</v>
      </c>
      <c r="J30">
        <f>ROUND(Aspirational_percentage_thrombolysed*admitted_number,0)</f>
        <v>10</v>
      </c>
      <c r="N30" s="35" t="s">
        <v>51</v>
      </c>
    </row>
    <row r="31" spans="2:15" ht="45" x14ac:dyDescent="0.25">
      <c r="I31" t="s">
        <v>25</v>
      </c>
      <c r="J31">
        <f>'HE tool'!D26</f>
        <v>0</v>
      </c>
      <c r="N31" s="34" t="s">
        <v>53</v>
      </c>
    </row>
    <row r="32" spans="2:15" x14ac:dyDescent="0.25">
      <c r="I32" s="2" t="s">
        <v>26</v>
      </c>
      <c r="J32">
        <f>ROUND(J29/Admitted,2)</f>
        <v>0.16</v>
      </c>
    </row>
    <row r="33" spans="2:10" x14ac:dyDescent="0.25">
      <c r="I33" s="2" t="s">
        <v>27</v>
      </c>
      <c r="J33">
        <f>ROUND(J28/Admitted,2)</f>
        <v>0.2</v>
      </c>
    </row>
    <row r="34" spans="2:10" x14ac:dyDescent="0.25">
      <c r="I34" t="s">
        <v>32</v>
      </c>
      <c r="J34" t="e">
        <f>ROUND(Admitted*Aspirational_percentage_thromb, 0)</f>
        <v>#NAME?</v>
      </c>
    </row>
    <row r="35" spans="2:10" x14ac:dyDescent="0.25">
      <c r="I35" t="s">
        <v>33</v>
      </c>
      <c r="J35" t="e">
        <f>ROUND(J34*current_thrombolysed,0)</f>
        <v>#NAME?</v>
      </c>
    </row>
    <row r="37" spans="2:10" x14ac:dyDescent="0.25">
      <c r="I37" t="s">
        <v>24</v>
      </c>
      <c r="J37" s="8">
        <f>ROUND((J26+'HE tool'!D24)/Admitted,2)</f>
        <v>0.12</v>
      </c>
    </row>
    <row r="38" spans="2:10" x14ac:dyDescent="0.25">
      <c r="I38" t="s">
        <v>30</v>
      </c>
      <c r="J38">
        <f>Current_thromb_of_all_patients/Infarction</f>
        <v>0.2304147465437788</v>
      </c>
    </row>
    <row r="39" spans="2:10" x14ac:dyDescent="0.25">
      <c r="B39" s="5"/>
      <c r="C39" s="5" t="s">
        <v>4</v>
      </c>
      <c r="D39" s="5" t="s">
        <v>5</v>
      </c>
      <c r="E39" s="5" t="s">
        <v>8</v>
      </c>
      <c r="J39" s="25"/>
    </row>
    <row r="40" spans="2:10" ht="75" x14ac:dyDescent="0.25">
      <c r="B40" s="5" t="s">
        <v>21</v>
      </c>
      <c r="C40" s="12">
        <f>current_thrombolysed*percentage_thromb*admitted_number</f>
        <v>0</v>
      </c>
      <c r="D40" s="12" t="e">
        <f>Aspirational_thrombolysed*Aspirational_percentage_thromb*admitted_number</f>
        <v>#NAME?</v>
      </c>
      <c r="E40" s="6" t="e">
        <f>C40-D40</f>
        <v>#NAME?</v>
      </c>
      <c r="H40" s="2" t="s">
        <v>19</v>
      </c>
      <c r="J40" s="8">
        <f>J31</f>
        <v>0</v>
      </c>
    </row>
    <row r="41" spans="2:10" x14ac:dyDescent="0.25">
      <c r="B41" s="5" t="s">
        <v>22</v>
      </c>
      <c r="C41" s="12">
        <f>Admitted-Admitted*(1-Infarction)-current_thrombolysed*admitted_number*percentage_thromb</f>
        <v>173.6</v>
      </c>
      <c r="D41" s="12" t="e">
        <f>(Admitted-Admitted*(1-Infarction)-Aspirational_thrombolysed*admitted_number*Aspirational_percentage_thromb)</f>
        <v>#NAME?</v>
      </c>
      <c r="E41" s="6" t="e">
        <f t="shared" ref="E41:E43" si="3">C41-D41</f>
        <v>#NAME?</v>
      </c>
      <c r="H41" t="s">
        <v>15</v>
      </c>
      <c r="I41" s="8">
        <v>0.04</v>
      </c>
      <c r="J41" s="8">
        <v>0.05</v>
      </c>
    </row>
    <row r="42" spans="2:10" x14ac:dyDescent="0.25">
      <c r="B42" s="5" t="s">
        <v>23</v>
      </c>
      <c r="C42" s="12">
        <f>(1-Infarction)*admitted_number</f>
        <v>26.400000000000002</v>
      </c>
      <c r="D42" s="12">
        <f>C42</f>
        <v>26.400000000000002</v>
      </c>
      <c r="E42" s="6">
        <f t="shared" si="3"/>
        <v>0</v>
      </c>
    </row>
    <row r="43" spans="2:10" x14ac:dyDescent="0.25">
      <c r="B43" s="5" t="s">
        <v>7</v>
      </c>
      <c r="C43" s="12">
        <f>SUM(C40:C42)</f>
        <v>200</v>
      </c>
      <c r="D43" s="12" t="e">
        <f>SUM(D40:D42)</f>
        <v>#NAME?</v>
      </c>
      <c r="E43" s="6" t="e">
        <f t="shared" si="3"/>
        <v>#NAME?</v>
      </c>
    </row>
    <row r="45" spans="2:10" x14ac:dyDescent="0.25">
      <c r="C45">
        <f>(Admitted-Admitted*(1-Infarction)-current_thrombolysed*percentage_thromb*admitted_number)</f>
        <v>173.6</v>
      </c>
    </row>
    <row r="48" spans="2:10" x14ac:dyDescent="0.25">
      <c r="C48">
        <f>C11/C41</f>
        <v>0</v>
      </c>
    </row>
  </sheetData>
  <mergeCells count="4">
    <mergeCell ref="I8:L8"/>
    <mergeCell ref="B8:E8"/>
    <mergeCell ref="B16:E16"/>
    <mergeCell ref="I16:L16"/>
  </mergeCells>
  <dataValidations disablePrompts="1" count="1">
    <dataValidation type="list" allowBlank="1" showInputMessage="1" showErrorMessage="1" sqref="J40">
      <formula1>$B$43:$B$144</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'NHS cost'!$B$12:$B$21</xm:f>
          </x14:formula1>
          <xm:sqref>J6:J7</xm:sqref>
        </x14:dataValidation>
        <x14:dataValidation type="list" allowBlank="1" showInputMessage="1" showErrorMessage="1">
          <x14:formula1>
            <xm:f>'NHS cost'!$B$41:$B$98</xm:f>
          </x14:formula1>
          <xm:sqref>J39</xm:sqref>
        </x14:dataValidation>
        <x14:dataValidation type="list" allowBlank="1" showInputMessage="1" showErrorMessage="1">
          <x14:formula1>
            <xm:f>'NHS cost'!$B$41:$B$148</xm:f>
          </x14:formula1>
          <xm:sqref>I41:J41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Q62"/>
  <sheetViews>
    <sheetView showGridLines="0" tabSelected="1" zoomScale="90" zoomScaleNormal="90" workbookViewId="0">
      <selection sqref="A1:N1"/>
    </sheetView>
  </sheetViews>
  <sheetFormatPr defaultRowHeight="15" x14ac:dyDescent="0.25"/>
  <cols>
    <col min="1" max="1" width="1.7109375" style="46" customWidth="1"/>
    <col min="2" max="2" width="9.140625" style="46" hidden="1" customWidth="1"/>
    <col min="3" max="3" width="54.28515625" style="46" customWidth="1"/>
    <col min="4" max="4" width="23.140625" style="46" customWidth="1"/>
    <col min="5" max="5" width="1.5703125" style="46" customWidth="1"/>
    <col min="6" max="6" width="3.85546875" style="46" customWidth="1"/>
    <col min="7" max="7" width="9.140625" style="46" customWidth="1"/>
    <col min="8" max="8" width="48.5703125" style="46" customWidth="1"/>
    <col min="9" max="10" width="9.140625" style="46"/>
    <col min="11" max="11" width="11.28515625" style="46" customWidth="1"/>
    <col min="12" max="13" width="9.140625" style="46"/>
    <col min="14" max="14" width="6.28515625" style="46" customWidth="1"/>
    <col min="15" max="15" width="11" style="46" bestFit="1" customWidth="1"/>
    <col min="16" max="16" width="90.42578125" style="46" bestFit="1" customWidth="1"/>
    <col min="17" max="16384" width="9.140625" style="46"/>
  </cols>
  <sheetData>
    <row r="1" spans="1:17" ht="47.25" customHeight="1" x14ac:dyDescent="0.25">
      <c r="A1" s="45" t="s">
        <v>41</v>
      </c>
      <c r="B1" s="45"/>
      <c r="C1" s="45"/>
      <c r="D1" s="45"/>
      <c r="E1" s="45"/>
      <c r="F1" s="45"/>
      <c r="G1" s="45"/>
      <c r="H1" s="45"/>
      <c r="I1" s="45"/>
      <c r="J1" s="45"/>
      <c r="K1" s="45"/>
      <c r="L1" s="45"/>
      <c r="M1" s="45"/>
      <c r="N1" s="45"/>
    </row>
    <row r="2" spans="1:17" ht="22.5" customHeight="1" x14ac:dyDescent="0.4">
      <c r="A2" s="47"/>
      <c r="B2" s="47"/>
      <c r="C2" s="48" t="s">
        <v>43</v>
      </c>
      <c r="D2" s="49"/>
      <c r="E2" s="47"/>
      <c r="F2" s="47"/>
      <c r="G2" s="47"/>
      <c r="H2" s="47"/>
      <c r="I2" s="47"/>
    </row>
    <row r="3" spans="1:17" ht="21.75" customHeight="1" x14ac:dyDescent="0.25">
      <c r="C3" s="50" t="s">
        <v>44</v>
      </c>
      <c r="D3" s="50"/>
    </row>
    <row r="4" spans="1:17" x14ac:dyDescent="0.25">
      <c r="C4" s="50"/>
      <c r="D4" s="50"/>
    </row>
    <row r="5" spans="1:17" ht="27" customHeight="1" x14ac:dyDescent="0.25">
      <c r="C5" s="50"/>
      <c r="D5" s="50"/>
      <c r="P5" s="47"/>
      <c r="Q5" s="47"/>
    </row>
    <row r="6" spans="1:17" ht="26.25" x14ac:dyDescent="0.4">
      <c r="C6" s="51" t="s">
        <v>37</v>
      </c>
      <c r="D6" s="51"/>
    </row>
    <row r="7" spans="1:17" x14ac:dyDescent="0.25">
      <c r="C7" s="52" t="s">
        <v>38</v>
      </c>
      <c r="D7" s="53"/>
    </row>
    <row r="8" spans="1:17" ht="30.75" customHeight="1" x14ac:dyDescent="0.25">
      <c r="C8" s="54" t="s">
        <v>59</v>
      </c>
      <c r="D8" s="40">
        <v>200</v>
      </c>
    </row>
    <row r="9" spans="1:17" ht="35.25" customHeight="1" x14ac:dyDescent="0.25">
      <c r="C9" s="55" t="s">
        <v>60</v>
      </c>
      <c r="D9" s="41">
        <v>0.49399999999999999</v>
      </c>
    </row>
    <row r="10" spans="1:17" ht="24" customHeight="1" x14ac:dyDescent="0.25">
      <c r="C10" s="54" t="s">
        <v>61</v>
      </c>
      <c r="D10" s="42">
        <v>0.86799999999999999</v>
      </c>
    </row>
    <row r="11" spans="1:17" ht="33" customHeight="1" x14ac:dyDescent="0.25">
      <c r="C11" s="54" t="s">
        <v>62</v>
      </c>
      <c r="D11" s="42">
        <v>0.114</v>
      </c>
    </row>
    <row r="12" spans="1:17" ht="18.75" customHeight="1" x14ac:dyDescent="0.25">
      <c r="C12" s="56"/>
      <c r="D12" s="57"/>
    </row>
    <row r="13" spans="1:17" ht="84.75" customHeight="1" x14ac:dyDescent="0.25">
      <c r="C13" s="58" t="s">
        <v>58</v>
      </c>
      <c r="D13" s="58"/>
      <c r="G13" s="59" t="s">
        <v>39</v>
      </c>
      <c r="H13" s="59"/>
      <c r="I13" s="59"/>
      <c r="J13" s="59"/>
      <c r="K13" s="59"/>
      <c r="L13" s="59"/>
    </row>
    <row r="14" spans="1:17" ht="12.75" customHeight="1" x14ac:dyDescent="0.25">
      <c r="C14" s="58"/>
      <c r="D14" s="58"/>
      <c r="G14" s="60" t="s">
        <v>40</v>
      </c>
      <c r="H14" s="60"/>
      <c r="I14" s="60"/>
      <c r="J14" s="60"/>
      <c r="K14" s="60"/>
      <c r="L14" s="60"/>
    </row>
    <row r="16" spans="1:17" ht="19.5" customHeight="1" x14ac:dyDescent="0.25">
      <c r="C16" s="61" t="s">
        <v>35</v>
      </c>
      <c r="D16" s="62"/>
    </row>
    <row r="17" spans="3:5" x14ac:dyDescent="0.25">
      <c r="C17" s="63" t="str">
        <f>IF(Admitted="","",CONCATENATE("You admitted ",Admitted," patients of which ",ROUND(Infarction*Admitted,0)," had ischaemic stroke."))</f>
        <v>You admitted 200 patients of which 174 had ischaemic stroke.</v>
      </c>
      <c r="D17" s="64"/>
    </row>
    <row r="18" spans="3:5" ht="20.25" customHeight="1" x14ac:dyDescent="0.25">
      <c r="C18" s="65" t="str">
        <f>IF(Admitted="", "", CONCATENATE("With your current thrombolysis rate (", D11*100, "%), ",Costs!J26, " patients would be thrombolysed."))</f>
        <v>With your current thrombolysis rate (11.4%), 23 patients would be thrombolysed.</v>
      </c>
      <c r="D18" s="66"/>
    </row>
    <row r="19" spans="3:5" ht="30.75" customHeight="1" x14ac:dyDescent="0.25">
      <c r="C19" s="65" t="str">
        <f>IF(Admitted="", "", CONCATENATE("The total NHS 1 year cost for the ",Admitted," patients you admitted was ",TEXT(ROUND(Costs!C13,0),"£#,##")," and the social care 1 year cost was ",TEXT(Costs!J13,"£#,##"),"."))</f>
        <v>The total NHS 1 year cost for the 200 patients you admitted was £2,672,500 and the social care 1 year cost was £1,778,600.</v>
      </c>
      <c r="D19" s="66"/>
    </row>
    <row r="20" spans="3:5" x14ac:dyDescent="0.25">
      <c r="C20" s="67"/>
      <c r="D20" s="67"/>
    </row>
    <row r="21" spans="3:5" ht="30.75" customHeight="1" x14ac:dyDescent="0.25">
      <c r="C21" s="68" t="s">
        <v>48</v>
      </c>
      <c r="D21" s="69"/>
    </row>
    <row r="22" spans="3:5" ht="55.5" customHeight="1" x14ac:dyDescent="0.25">
      <c r="C22" s="70" t="str">
        <f>IF(Admitted="","",IF(percentage_thromb=0.2, "You already thrombolyse 20.0% of patients", CONCATENATE("If you thrombolysed 20.0% of your patients then you would thrombolyse ",ROUND(0.2*Admitted,0)," patients.")))</f>
        <v>If you thrombolysed 20.0% of your patients then you would thrombolyse 40 patients.</v>
      </c>
      <c r="D22" s="71"/>
    </row>
    <row r="23" spans="3:5" ht="47.25" customHeight="1" x14ac:dyDescent="0.25">
      <c r="C23" s="72" t="str">
        <f>IF(Admitted="","",IF(current_thrombolysed=100%, " ",CONCATENATE("Thrombolysing 20.0% of patients would lead to ", IF(percentage_thromb&lt;0.2, "a reduction", "an increase"), " in NHS 1 year cost of ",  TEXT(ABS(ROUND(Costs!F14, 0)),"£#,##"), " and ", IF(percentage_thromb&lt;0.16, "a reduction", "an increase")," in social care 1 year cost of ",TEXT(ABS(ROUND(Costs!M14, 0)),"£#,##"), ".")))</f>
        <v>Thrombolysing 20.0% of patients would lead to a reduction in NHS 1 year cost of £55,000 and a reduction in social care 1 year cost of £51,200.</v>
      </c>
      <c r="D23" s="73"/>
    </row>
    <row r="24" spans="3:5" ht="38.25" customHeight="1" x14ac:dyDescent="0.25">
      <c r="C24" s="74"/>
      <c r="D24" s="75"/>
    </row>
    <row r="25" spans="3:5" ht="25.5" customHeight="1" x14ac:dyDescent="0.25">
      <c r="C25" s="68" t="s">
        <v>52</v>
      </c>
      <c r="D25" s="69"/>
    </row>
    <row r="26" spans="3:5" ht="54" customHeight="1" x14ac:dyDescent="0.25">
      <c r="C26" s="76" t="str">
        <f>IF(Admitted="","",IF(percentage_thromb=0.2, "You already thrombolyse 16.0% of patients", CONCATENATE("The 20 hospitals that thrombolysed the highest percentage pf patients thrombolysed 16.0% of their partients. If you thrombolysed 16.0% of your patients then you would thrombolyse ",ROUND(0.2*Admitted,0)," patients.")))</f>
        <v>The 20 hospitals that thrombolysed the highest percentage pf patients thrombolysed 16.0% of their partients. If you thrombolysed 16.0% of your patients then you would thrombolyse 40 patients.</v>
      </c>
      <c r="D26" s="77"/>
    </row>
    <row r="27" spans="3:5" ht="43.5" customHeight="1" x14ac:dyDescent="0.25">
      <c r="C27" s="78" t="str">
        <f>IF(Admitted="","",IF(current_thrombolysed=100%, " ",CONCATENATE("Thrombolysing 16.0% of patients would lead to ", IF(percentage_thromb&lt;0.16, "a reduction", "an increase"), " in NHS 1 year cost of ",  TEXT(ABS(ROUND(Costs!E13, 0)),"£#,##"), " and ", IF(percentage_thromb&lt;0.16, "a reduction", "an increase"), " in social care 1 year cost of ",TEXT(ABS(ROUND(Costs!M14, 0)),"£#,##"), ".")))</f>
        <v>Thrombolysing 16.0% of patients would lead to a reduction in NHS 1 year cost of £13,100 and a reduction in social care 1 year cost of £51,200.</v>
      </c>
      <c r="D27" s="79"/>
    </row>
    <row r="28" spans="3:5" ht="11.25" customHeight="1" x14ac:dyDescent="0.25">
      <c r="C28" s="80"/>
      <c r="D28" s="80"/>
    </row>
    <row r="29" spans="3:5" ht="33" customHeight="1" x14ac:dyDescent="0.25">
      <c r="C29" s="81"/>
      <c r="D29" s="81"/>
      <c r="E29" s="82"/>
    </row>
    <row r="30" spans="3:5" ht="34.5" customHeight="1" x14ac:dyDescent="0.25">
      <c r="C30" s="68" t="s">
        <v>49</v>
      </c>
      <c r="D30" s="69"/>
    </row>
    <row r="31" spans="3:5" x14ac:dyDescent="0.25">
      <c r="C31" s="83" t="s">
        <v>50</v>
      </c>
      <c r="D31" s="43">
        <v>0.05</v>
      </c>
    </row>
    <row r="32" spans="3:5" x14ac:dyDescent="0.25">
      <c r="C32" s="76" t="str">
        <f>IF(Aspirational_percentage_thrombolysed="", "",IF(Admitted="","",IF(percentage_thromb=Aspirational_percentage_thrombolysed, "You have not changed the percentage thrombolysed", CONCATENATE("If you thrombolysed ",ROUND(100*Aspirational_percentage_thrombolysed,1), "% of your patients then you would thrombolyse ",ROUND(Aspirational_percentage_thrombolysed*Admitted,0)," patients."))))</f>
        <v>If you thrombolysed 5% of your patients then you would thrombolyse 10 patients.</v>
      </c>
      <c r="D32" s="77"/>
    </row>
    <row r="33" spans="3:4" ht="75.75" customHeight="1" x14ac:dyDescent="0.25">
      <c r="C33" s="84" t="str">
        <f>IF(OR(Aspirational_percentage_thrombolysed="",Admitted=""), "",IF(Aspirational_percentage_thrombolysed=percentage_thromb,"You have not changed the percentage thrombolysed so there would be no impact on cost",CONCATENATE(IF(Aspirational_percentage_thrombolysed&lt;percentage_thromb,"Decreasing","Increasing")," the percentage of patients thrombolysed to ",Aspirational_percentage_thrombolysed*100,"% would lead to ",IF(Costs!G14&gt;0,"a reduction","an increase")," in NHS 1 year cost of ",TEXT(ABS(ROUND(Costs!G14,0)),"£#,##")," and ",IF(Costs!N14&gt;0,"a reduction","an increase")," in social care cost of ",TEXT(ABS(ROUND(Costs!N14,0)),"£#,##")," .")))</f>
        <v>Decreasing the percentage of patients thrombolysed to 5% would lead to an increase in NHS 1 year cost of £40,500 and an increase in social care cost of £37,700 .</v>
      </c>
      <c r="D33" s="85"/>
    </row>
    <row r="34" spans="3:4" x14ac:dyDescent="0.25">
      <c r="C34" s="80"/>
      <c r="D34" s="80"/>
    </row>
    <row r="35" spans="3:4" x14ac:dyDescent="0.25">
      <c r="C35" s="81"/>
      <c r="D35" s="81"/>
    </row>
    <row r="36" spans="3:4" ht="9.75" customHeight="1" x14ac:dyDescent="0.25">
      <c r="C36" s="81"/>
      <c r="D36" s="81"/>
    </row>
    <row r="37" spans="3:4" ht="33.75" customHeight="1" x14ac:dyDescent="0.25">
      <c r="C37" s="86" t="s">
        <v>36</v>
      </c>
      <c r="D37" s="87"/>
    </row>
    <row r="38" spans="3:4" ht="31.5" customHeight="1" x14ac:dyDescent="0.25">
      <c r="C38" s="88" t="str">
        <f>IF(Admitted="", "", CONCATENATE("The total NHS 1 year cost for the ",Admitted," patients you admitted was ",TEXT(ROUND(Costs!C13,0),"£#,##")," and the social care 1 year cost was ",TEXT(Costs!J13,"£#,##"),""))</f>
        <v>The total NHS 1 year cost for the 200 patients you admitted was £2,672,500 and the social care 1 year cost was £1,778,600</v>
      </c>
      <c r="D38" s="89"/>
    </row>
    <row r="39" spans="3:4" ht="66.75" customHeight="1" x14ac:dyDescent="0.25">
      <c r="C39" s="90" t="str">
        <f>CONCATENATE("If you were to thrombolyse 20.0% patients the total NHS 1 year cost would be ",TEXT(ROUND(Costs!F13,0),"£#,##")," and the social care 1 year cost would be ",TEXT(ROUND(Costs!M13,0),"£#,##"),". The cost benefit of thrombolysing 20.0% patients compared to your current rate would be ",IF(Costs!F14&lt;0, "an increase", "a decrease")," in NHS 1 year cost of ",TEXT(ABS(ROUND(Costs!F14,0)),"£#,##")," and ", IF(Costs!M14&lt;0, "an increase", "a decrease"), " in social care 1 year cost of ",TEXT(ABS(ROUND(Costs!M14,0)),"£#,##"),".")</f>
        <v>If you were to thrombolyse 20.0% patients the total NHS 1 year cost would be £2,617,500 and the social care 1 year cost would be £1,727,400. The cost benefit of thrombolysing 20.0% patients compared to your current rate would be a decrease in NHS 1 year cost of £55,000 and a decrease in social care 1 year cost of £51,200.</v>
      </c>
      <c r="D39" s="91"/>
    </row>
    <row r="40" spans="3:4" ht="75" customHeight="1" x14ac:dyDescent="0.25">
      <c r="C40" s="72" t="str">
        <f>CONCATENATE("If you were to thrombolyse 16.0% patients the total NHS 1 year cost would be ",TEXT(ROUND(Costs!D13,0),"£#,##")," and the social care 1 year cost would be ",TEXT(ROUND(Costs!K13,0),"£#,##"),". The cost benefit of thrombolysing 16.0% patients compared to your current rate would be ",IF(Costs!E13&gt;0, "an increase", "a decrease")," in NHS 1 year cost of ",TEXT(ABS(ROUND(Costs!E13,0)),"£#,##")," and ",IF(Costs!L13&gt;0, "an increase", "a decrease")," in social care 1 year cost of ",TEXT(ABS(ROUND(Costs!L13,0)),"£#,##"),".")</f>
        <v>If you were to thrombolyse 16.0% patients the total NHS 1 year cost would be £2,685,600 and the social care 1 year cost would be £1,751,200. The cost benefit of thrombolysing 16.0% patients compared to your current rate would be an increase in NHS 1 year cost of £13,100 and a decrease in social care 1 year cost of £27,400.</v>
      </c>
      <c r="D40" s="73"/>
    </row>
    <row r="41" spans="3:4" ht="76.5" customHeight="1" x14ac:dyDescent="0.25">
      <c r="C41" s="92" t="str">
        <f>IF(Aspirational_percentage_thrombolysed="","",CONCATENATE("If you were to ", IF(Aspirational_percentage_thrombolysed&lt;percentage_thromb, "decrease","increase")," the percentage of patients thrombolysed to ",D31*100,"% the NHS 1 year cost would be ",TEXT(ROUND(Costs!G13, 0),"£#,##"), " and the total social care 1 year cost would be ",TEXT(ROUND(Costs!K13,0),"£#,##"), ".  This is a ",'NHS cost'!A1, " in overall NHS 1 year cost of ", TEXT(ROUND(ABS(Costs!G14),0),"£#,##"), ". The change to social care cost would be a ",'NHS cost'!A1, " of ", TEXT(ABS(ROUND(Costs!N14, 0)),"£#,##"), "."))</f>
        <v>If you were to decrease the percentage of patients thrombolysed to 5% the NHS 1 year cost would be £2,713,000 and the total social care 1 year cost would be £1,751,200.  This is a increase in overall NHS 1 year cost of £40,500. The change to social care cost would be a increase of £37,700.</v>
      </c>
      <c r="D41" s="93"/>
    </row>
    <row r="52" ht="21.75" customHeight="1" x14ac:dyDescent="0.25"/>
    <row r="53" ht="27.75" customHeight="1" x14ac:dyDescent="0.25"/>
    <row r="61" ht="18" customHeight="1" x14ac:dyDescent="0.25"/>
    <row r="62" ht="19.5" customHeight="1" x14ac:dyDescent="0.25"/>
  </sheetData>
  <sheetProtection sheet="1" objects="1" scenarios="1" formatCells="0"/>
  <dataConsolidate/>
  <mergeCells count="27">
    <mergeCell ref="A1:N1"/>
    <mergeCell ref="C41:D41"/>
    <mergeCell ref="C38:D38"/>
    <mergeCell ref="C40:D40"/>
    <mergeCell ref="C33:D33"/>
    <mergeCell ref="C34:D34"/>
    <mergeCell ref="C39:D39"/>
    <mergeCell ref="G13:L13"/>
    <mergeCell ref="G14:L14"/>
    <mergeCell ref="C37:D37"/>
    <mergeCell ref="C22:D22"/>
    <mergeCell ref="C23:D23"/>
    <mergeCell ref="C28:D28"/>
    <mergeCell ref="C30:D30"/>
    <mergeCell ref="C3:D5"/>
    <mergeCell ref="C2:D2"/>
    <mergeCell ref="C32:D32"/>
    <mergeCell ref="C6:D6"/>
    <mergeCell ref="C13:D14"/>
    <mergeCell ref="C21:D21"/>
    <mergeCell ref="C27:D27"/>
    <mergeCell ref="C25:D25"/>
    <mergeCell ref="C16:D16"/>
    <mergeCell ref="C18:D18"/>
    <mergeCell ref="C17:D17"/>
    <mergeCell ref="C19:D19"/>
    <mergeCell ref="C26:D26"/>
  </mergeCells>
  <dataValidations count="6">
    <dataValidation type="whole" operator="greaterThanOrEqual" allowBlank="1" showInputMessage="1" showErrorMessage="1" error="The number you have entered is too low.A lower limit of at least 20 patients has been set to make the estimates more accurate.  " sqref="D8">
      <formula1>20</formula1>
    </dataValidation>
    <dataValidation type="decimal" allowBlank="1" showInputMessage="1" showErrorMessage="1" errorTitle="% of female patients" error="The value entered has to be between 30.0% and 70.0%. " sqref="D9">
      <formula1>0.3</formula1>
      <formula2>0.7</formula2>
    </dataValidation>
    <dataValidation type="decimal" allowBlank="1" showInputMessage="1" showErrorMessage="1" errorTitle="%  thrombolysed" error="The value entered has to be between 0.0% and 30.0%." sqref="D11">
      <formula1>0</formula1>
      <formula2>0.3</formula2>
    </dataValidation>
    <dataValidation type="decimal" allowBlank="1" showInputMessage="1" showErrorMessage="1" errorTitle="% eligible patients thrombolysed" error="The value entered has to be between 0.0% and 100.0%." sqref="D12">
      <formula1>0</formula1>
      <formula2>1</formula2>
    </dataValidation>
    <dataValidation type="decimal" allowBlank="1" showInputMessage="1" showErrorMessage="1" errorTitle="% of infarctions" error="The value entered has to be between 70.0% and 100.0%. " sqref="D10">
      <formula1>0.7</formula1>
      <formula2>1</formula2>
    </dataValidation>
    <dataValidation type="decimal" allowBlank="1" showInputMessage="1" showErrorMessage="1" error="The value entered has to be between 0.0% and 30.0%." sqref="D31">
      <formula1>0</formula1>
      <formula2>0.3</formula2>
    </dataValidation>
  </dataValidations>
  <hyperlinks>
    <hyperlink ref="G14:L14" location="'Further details'!A1" display="Go to 'Further details' tab"/>
  </hyperlinks>
  <pageMargins left="0.70866141732283472" right="0.70866141732283472" top="0.74803149606299213" bottom="0.74803149606299213" header="0.31496062992125984" footer="0.31496062992125984"/>
  <pageSetup paperSize="9" scale="66" orientation="landscape" r:id="rId1"/>
  <headerFooter>
    <oddHeader xml:space="preserve">&amp;C
</oddHeader>
    <oddFooter>&amp;LSSNAP Health Economics Model 2016&amp;C&amp;P</oddFooter>
  </headerFooter>
  <rowBreaks count="2" manualBreakCount="2">
    <brk id="15" max="13" man="1"/>
    <brk id="35" max="1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3"/>
  <sheetViews>
    <sheetView showGridLines="0" zoomScale="110" zoomScaleNormal="110" workbookViewId="0"/>
  </sheetViews>
  <sheetFormatPr defaultRowHeight="15" x14ac:dyDescent="0.25"/>
  <cols>
    <col min="1" max="1" width="110.5703125" customWidth="1"/>
  </cols>
  <sheetData>
    <row r="1" spans="1:1" ht="28.5" x14ac:dyDescent="0.45">
      <c r="A1" s="36" t="s">
        <v>42</v>
      </c>
    </row>
    <row r="13" spans="1:1" x14ac:dyDescent="0.25">
      <c r="A13" s="29" t="s">
        <v>63</v>
      </c>
    </row>
  </sheetData>
  <pageMargins left="0.70866141732283472" right="0.70866141732283472" top="0.74803149606299213" bottom="0.74803149606299213" header="0.31496062992125984" footer="0.31496062992125984"/>
  <pageSetup paperSize="9" orientation="portrait" r:id="rId1"/>
  <headerFooter>
    <oddFooter>&amp;LSSNAP Health Economics Model 2016&amp;C&amp;P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749B91EFC09194286D6EC89A89F5C13" ma:contentTypeVersion="18" ma:contentTypeDescription="Create a new document." ma:contentTypeScope="" ma:versionID="a2a21fe639b46802d7b4e6d3227e852f">
  <xsd:schema xmlns:xsd="http://www.w3.org/2001/XMLSchema" xmlns:xs="http://www.w3.org/2001/XMLSchema" xmlns:p="http://schemas.microsoft.com/office/2006/metadata/properties" xmlns:ns1="http://schemas.microsoft.com/sharepoint/v3" xmlns:ns2="0f6cbe84-0c1a-4b77-9fc1-6dc3c1c0965e" xmlns:ns3="2ef312ff-8833-4413-9d5f-b396115bef04" xmlns:ns4="4aaf35b1-80a8-48e7-9d03-c612add1997b" targetNamespace="http://schemas.microsoft.com/office/2006/metadata/properties" ma:root="true" ma:fieldsID="41636cd898bf639044d605a830f923a2" ns1:_="" ns2:_="" ns3:_="" ns4:_="">
    <xsd:import namespace="http://schemas.microsoft.com/sharepoint/v3"/>
    <xsd:import namespace="0f6cbe84-0c1a-4b77-9fc1-6dc3c1c0965e"/>
    <xsd:import namespace="2ef312ff-8833-4413-9d5f-b396115bef04"/>
    <xsd:import namespace="4aaf35b1-80a8-48e7-9d03-c612add1997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ServiceAutoTags" minOccurs="0"/>
                <xsd:element ref="ns2:MediaServiceGenerationTime" minOccurs="0"/>
                <xsd:element ref="ns2:MediaServiceEventHashCode" minOccurs="0"/>
                <xsd:element ref="ns2:MediaServiceOCR" minOccurs="0"/>
                <xsd:element ref="ns2:Number" minOccurs="0"/>
                <xsd:element ref="ns2:MediaLengthInSeconds" minOccurs="0"/>
                <xsd:element ref="ns2:lcf76f155ced4ddcb4097134ff3c332f" minOccurs="0"/>
                <xsd:element ref="ns4:TaxCatchAll"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6cbe84-0c1a-4b77-9fc1-6dc3c1c096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Number" ma:index="20" nillable="true" ma:displayName="Number" ma:format="Dropdown" ma:internalName="Number" ma:percentage="FALSE">
      <xsd:simpleType>
        <xsd:restriction base="dms:Number"/>
      </xsd:simpleType>
    </xsd:element>
    <xsd:element name="MediaLengthInSeconds" ma:index="21" nillable="true" ma:displayName="MediaLengthInSeconds" ma:hidden="true"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31d7151-b795-48f9-9207-6285658e27ad" ma:termSetId="09814cd3-568e-fe90-9814-8d621ff8fb84" ma:anchorId="fba54fb3-c3e1-fe81-a776-ca4b69148c4d" ma:open="true" ma:isKeyword="false">
      <xsd:complexType>
        <xsd:sequence>
          <xsd:element ref="pc:Terms" minOccurs="0" maxOccurs="1"/>
        </xsd:sequence>
      </xsd:complexType>
    </xsd:element>
    <xsd:element name="MediaServiceDateTaken" ma:index="25"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f312ff-8833-4413-9d5f-b396115bef04"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aaf35b1-80a8-48e7-9d03-c612add1997b"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2b4e095b-1101-4ecf-b922-07d4f903192c}" ma:internalName="TaxCatchAll" ma:showField="CatchAllData" ma:web="2ef312ff-8833-4413-9d5f-b396115bef0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0f6cbe84-0c1a-4b77-9fc1-6dc3c1c0965e">
      <Terms xmlns="http://schemas.microsoft.com/office/infopath/2007/PartnerControls"/>
    </lcf76f155ced4ddcb4097134ff3c332f>
    <TaxCatchAll xmlns="4aaf35b1-80a8-48e7-9d03-c612add1997b" xsi:nil="true"/>
    <_ip_UnifiedCompliancePolicyProperties xmlns="http://schemas.microsoft.com/sharepoint/v3" xsi:nil="true"/>
    <Number xmlns="0f6cbe84-0c1a-4b77-9fc1-6dc3c1c0965e" xsi:nil="true"/>
  </documentManagement>
</p:properties>
</file>

<file path=customXml/itemProps1.xml><?xml version="1.0" encoding="utf-8"?>
<ds:datastoreItem xmlns:ds="http://schemas.openxmlformats.org/officeDocument/2006/customXml" ds:itemID="{0553E0EA-D052-4E1F-8CEB-D2B27C91259A}"/>
</file>

<file path=customXml/itemProps2.xml><?xml version="1.0" encoding="utf-8"?>
<ds:datastoreItem xmlns:ds="http://schemas.openxmlformats.org/officeDocument/2006/customXml" ds:itemID="{FA402020-9C1A-4F20-959F-E7106BFE772D}"/>
</file>

<file path=customXml/itemProps3.xml><?xml version="1.0" encoding="utf-8"?>
<ds:datastoreItem xmlns:ds="http://schemas.openxmlformats.org/officeDocument/2006/customXml" ds:itemID="{D54E1F18-D90C-4A51-A506-6DFF432F541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13</vt:i4>
      </vt:variant>
    </vt:vector>
  </HeadingPairs>
  <TitlesOfParts>
    <vt:vector size="19" baseType="lpstr">
      <vt:lpstr>NHS cost</vt:lpstr>
      <vt:lpstr>Social care cost</vt:lpstr>
      <vt:lpstr>QALY</vt:lpstr>
      <vt:lpstr>Costs</vt:lpstr>
      <vt:lpstr>HE tool</vt:lpstr>
      <vt:lpstr>Further details</vt:lpstr>
      <vt:lpstr>Admitted</vt:lpstr>
      <vt:lpstr>admitted_number</vt:lpstr>
      <vt:lpstr>aspirational_ESD</vt:lpstr>
      <vt:lpstr>Aspirational_percentage_thrombolysed</vt:lpstr>
      <vt:lpstr>current_ESD</vt:lpstr>
      <vt:lpstr>Current_thromb_of_all_patients</vt:lpstr>
      <vt:lpstr>current_thrombolysed</vt:lpstr>
      <vt:lpstr>discharged</vt:lpstr>
      <vt:lpstr>Infarction</vt:lpstr>
      <vt:lpstr>percentage_thromb</vt:lpstr>
      <vt:lpstr>'Further details'!Print_Area</vt:lpstr>
      <vt:lpstr>'HE tool'!Print_Area</vt:lpstr>
      <vt:lpstr>Proportion_of_females</vt:lpstr>
    </vt:vector>
  </TitlesOfParts>
  <Company>Royal College of Physicians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 Vestesson</dc:creator>
  <cp:lastModifiedBy>Lizz Paley</cp:lastModifiedBy>
  <cp:lastPrinted>2016-03-31T16:23:25Z</cp:lastPrinted>
  <dcterms:created xsi:type="dcterms:W3CDTF">2015-11-25T14:34:49Z</dcterms:created>
  <dcterms:modified xsi:type="dcterms:W3CDTF">2016-08-08T11:25:42Z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0x0101004749B91EFC09194286D6EC89A89F5C13</vt:lpwstr>
  </property>
</Properties>
</file>